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showInkAnnotation="0" codeName="ThisWorkbook"/>
  <xr:revisionPtr revIDLastSave="0" documentId="11_38F226E49C3FDE2BD5F674572A1B5BD66930A576" xr6:coauthVersionLast="47" xr6:coauthVersionMax="47" xr10:uidLastSave="{00000000-0000-0000-0000-000000000000}"/>
  <workbookProtection workbookAlgorithmName="SHA-512" workbookHashValue="liDvztT7Edfxf+au9mluHPlCeJHT8IFbwRib2j40FjuVChFuD8PjpbhZ2bTrE3yXf0N+bU+3OblTB1+uHqyO6w==" workbookSaltValue="hUHBl/S2UhuZ2AAkGeVzBQ==" workbookSpinCount="100000" lockStructure="1"/>
  <bookViews>
    <workbookView xWindow="-120" yWindow="-120" windowWidth="29040" windowHeight="15720" tabRatio="672" xr2:uid="{00000000-000D-0000-FFFF-FFFF00000000}"/>
  </bookViews>
  <sheets>
    <sheet name="کاور" sheetId="27" r:id="rId1"/>
    <sheet name="پمپ آبرسانی خصوصی " sheetId="12" r:id="rId2"/>
    <sheet name="خصوصی" sheetId="13" state="hidden" r:id="rId3"/>
    <sheet name="محاسبه دبی خصوصی" sheetId="16" state="hidden" r:id="rId4"/>
    <sheet name="پمپ آبرسانی عمومی" sheetId="19" r:id="rId5"/>
    <sheet name="عمومی" sheetId="23" state="hidden" r:id="rId6"/>
    <sheet name="محاسبه دبی عمومی" sheetId="20" state="hidden" r:id="rId7"/>
    <sheet name="پمپ آتشنشانی " sheetId="17" r:id="rId8"/>
    <sheet name="آتشنشانی" sheetId="24" state="hidden" r:id="rId9"/>
    <sheet name="محاسبه دبی آتشنشانی" sheetId="18" state="hidden" r:id="rId10"/>
    <sheet name="پمپ سیرکولاتور گرمایش-سرمایش" sheetId="21" r:id="rId11"/>
    <sheet name="پمپ سیرکولاتور منبع آبگرم" sheetId="25" r:id="rId12"/>
    <sheet name="پمپ سیرکولاتور برگشت آبگرم" sheetId="26" r:id="rId13"/>
    <sheet name="آبگرم مصرفی" sheetId="29" state="hidden" r:id="rId14"/>
    <sheet name="سیرکولاتور" sheetId="22" state="hidden" r:id="rId15"/>
  </sheets>
  <definedNames>
    <definedName name="_xlnm.Print_Area" localSheetId="13">'آبگرم مصرفی'!$A$2:$O$31</definedName>
    <definedName name="_xlnm.Print_Area" localSheetId="1">'پمپ آبرسانی خصوصی '!$A$2:$L$47</definedName>
    <definedName name="_xlnm.Print_Area" localSheetId="4">'پمپ آبرسانی عمومی'!$A$2:$L$47</definedName>
    <definedName name="_xlnm.Print_Area" localSheetId="7">'پمپ آتشنشانی '!$A$2:$L$46</definedName>
    <definedName name="_xlnm.Print_Area" localSheetId="12">'پمپ سیرکولاتور برگشت آبگرم'!$A$2:$L$43</definedName>
    <definedName name="_xlnm.Print_Area" localSheetId="10">'پمپ سیرکولاتور گرمایش-سرمایش'!$A$2:$L$46</definedName>
    <definedName name="_xlnm.Print_Area" localSheetId="11">'پمپ سیرکولاتور منبع آبگرم'!$A$2:$L$47</definedName>
    <definedName name="_xlnm.Print_Area" localSheetId="0">کاور!$A$2:$L$47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1" i="22" l="1"/>
  <c r="Q20" i="22"/>
  <c r="P18" i="22"/>
  <c r="Q18" i="22" s="1"/>
  <c r="K20" i="26"/>
  <c r="Q21" i="22" l="1"/>
  <c r="C37" i="22"/>
  <c r="D37" i="22" s="1"/>
  <c r="K39" i="26" s="1"/>
  <c r="C36" i="22"/>
  <c r="D36" i="22" s="1"/>
  <c r="K41" i="25" s="1"/>
  <c r="C35" i="22"/>
  <c r="D35" i="22" s="1"/>
  <c r="K40" i="21" s="1"/>
  <c r="K42" i="17"/>
  <c r="K25" i="19"/>
  <c r="C36" i="23"/>
  <c r="C35" i="23"/>
  <c r="D35" i="23" s="1"/>
  <c r="K44" i="19" s="1"/>
  <c r="C32" i="23"/>
  <c r="D32" i="23" s="1"/>
  <c r="K43" i="19" s="1"/>
  <c r="C37" i="23" l="1"/>
  <c r="C36" i="13"/>
  <c r="C35" i="13" l="1"/>
  <c r="D35" i="13" s="1"/>
  <c r="K44" i="12" s="1"/>
  <c r="C32" i="13"/>
  <c r="D32" i="13" s="1"/>
  <c r="K43" i="12" s="1"/>
  <c r="C33" i="24"/>
  <c r="D33" i="24" s="1"/>
  <c r="B17" i="24"/>
  <c r="C17" i="24"/>
  <c r="K23" i="17"/>
  <c r="H23" i="22" l="1"/>
  <c r="H24" i="22"/>
  <c r="H25" i="22"/>
  <c r="H26" i="22"/>
  <c r="F23" i="22"/>
  <c r="F24" i="22"/>
  <c r="F25" i="22"/>
  <c r="F26" i="22"/>
  <c r="A5" i="18"/>
  <c r="F4" i="18" s="1"/>
  <c r="J15" i="17" l="1"/>
  <c r="C37" i="13"/>
  <c r="M11" i="29"/>
  <c r="M12" i="29"/>
  <c r="M13" i="29"/>
  <c r="M14" i="29"/>
  <c r="M15" i="29"/>
  <c r="M16" i="29"/>
  <c r="M17" i="29"/>
  <c r="M18" i="29"/>
  <c r="M19" i="29"/>
  <c r="M10" i="29"/>
  <c r="M8" i="29"/>
  <c r="M26" i="29"/>
  <c r="L14" i="29" l="1"/>
  <c r="F14" i="25" s="1"/>
  <c r="J14" i="25" s="1"/>
  <c r="L17" i="29"/>
  <c r="F17" i="25" s="1"/>
  <c r="J17" i="25" s="1"/>
  <c r="L18" i="29"/>
  <c r="F18" i="25" s="1"/>
  <c r="J18" i="25" s="1"/>
  <c r="L10" i="29"/>
  <c r="F10" i="25" s="1"/>
  <c r="J10" i="25" s="1"/>
  <c r="L12" i="29"/>
  <c r="F12" i="25" s="1"/>
  <c r="J12" i="25" s="1"/>
  <c r="L15" i="29"/>
  <c r="F15" i="25" s="1"/>
  <c r="J15" i="25" s="1"/>
  <c r="L16" i="29"/>
  <c r="F16" i="25" s="1"/>
  <c r="J16" i="25" s="1"/>
  <c r="L19" i="29"/>
  <c r="F19" i="25" s="1"/>
  <c r="J19" i="25" s="1"/>
  <c r="L11" i="29"/>
  <c r="F11" i="25" s="1"/>
  <c r="J11" i="25" s="1"/>
  <c r="L13" i="29"/>
  <c r="F13" i="25" s="1"/>
  <c r="J13" i="25" s="1"/>
  <c r="E24" i="29"/>
  <c r="H27" i="29"/>
  <c r="K8" i="25" s="1"/>
  <c r="H24" i="29"/>
  <c r="B24" i="29" l="1"/>
  <c r="E30" i="29" s="1"/>
  <c r="B30" i="29" s="1"/>
  <c r="F8" i="25"/>
  <c r="E20" i="25" s="1"/>
  <c r="J21" i="25" l="1"/>
  <c r="J22" i="25" s="1"/>
  <c r="K20" i="25"/>
  <c r="D27" i="29"/>
  <c r="B27" i="29" s="1"/>
  <c r="E5" i="26" l="1"/>
  <c r="C5" i="26"/>
  <c r="E5" i="25"/>
  <c r="C5" i="25"/>
  <c r="E5" i="21"/>
  <c r="C5" i="21"/>
  <c r="E5" i="17"/>
  <c r="C5" i="17"/>
  <c r="E5" i="19"/>
  <c r="C5" i="19"/>
  <c r="E5" i="12"/>
  <c r="C5" i="12"/>
  <c r="K19" i="26" l="1"/>
  <c r="K26" i="25"/>
  <c r="K27" i="25" s="1"/>
  <c r="K17" i="21"/>
  <c r="K18" i="21" s="1"/>
  <c r="C31" i="22" l="1"/>
  <c r="C32" i="22"/>
  <c r="C33" i="22"/>
  <c r="C34" i="22"/>
  <c r="B32" i="22"/>
  <c r="B33" i="22"/>
  <c r="D33" i="22" s="1"/>
  <c r="H36" i="21" s="1"/>
  <c r="K36" i="21" s="1"/>
  <c r="B34" i="22"/>
  <c r="B31" i="22"/>
  <c r="D34" i="22" l="1"/>
  <c r="H37" i="21" s="1"/>
  <c r="K37" i="21" s="1"/>
  <c r="D32" i="22"/>
  <c r="H35" i="21" s="1"/>
  <c r="K35" i="21" s="1"/>
  <c r="M18" i="22" l="1"/>
  <c r="M19" i="22"/>
  <c r="M20" i="22"/>
  <c r="M21" i="22"/>
  <c r="M22" i="22"/>
  <c r="M23" i="22"/>
  <c r="M24" i="22"/>
  <c r="M25" i="22"/>
  <c r="M26" i="22"/>
  <c r="M27" i="22"/>
  <c r="M28" i="22"/>
  <c r="N28" i="22" s="1"/>
  <c r="H33" i="26" s="1"/>
  <c r="M29" i="22"/>
  <c r="M30" i="22"/>
  <c r="M31" i="22"/>
  <c r="M17" i="22"/>
  <c r="K18" i="22"/>
  <c r="K19" i="22"/>
  <c r="K20" i="22"/>
  <c r="K21" i="22"/>
  <c r="K22" i="22"/>
  <c r="K23" i="22"/>
  <c r="K24" i="22"/>
  <c r="K25" i="22"/>
  <c r="K26" i="22"/>
  <c r="K27" i="22"/>
  <c r="K28" i="22"/>
  <c r="K29" i="22"/>
  <c r="K30" i="22"/>
  <c r="K31" i="22"/>
  <c r="K17" i="22"/>
  <c r="N31" i="22"/>
  <c r="H36" i="26" s="1"/>
  <c r="F18" i="22"/>
  <c r="F19" i="22"/>
  <c r="F20" i="22"/>
  <c r="F21" i="22"/>
  <c r="F22" i="22"/>
  <c r="H18" i="22"/>
  <c r="H19" i="22"/>
  <c r="H20" i="22"/>
  <c r="H21" i="22"/>
  <c r="H22" i="22"/>
  <c r="H17" i="22"/>
  <c r="F17" i="22"/>
  <c r="C18" i="22"/>
  <c r="C19" i="22"/>
  <c r="C20" i="22"/>
  <c r="C21" i="22"/>
  <c r="C22" i="22"/>
  <c r="C23" i="22"/>
  <c r="C24" i="22"/>
  <c r="C25" i="22"/>
  <c r="C26" i="22"/>
  <c r="C27" i="22"/>
  <c r="C28" i="22"/>
  <c r="C29" i="22"/>
  <c r="C30" i="22"/>
  <c r="C17" i="22"/>
  <c r="B18" i="22"/>
  <c r="B19" i="22"/>
  <c r="B20" i="22"/>
  <c r="B21" i="22"/>
  <c r="B22" i="22"/>
  <c r="B23" i="22"/>
  <c r="B24" i="22"/>
  <c r="B25" i="22"/>
  <c r="B26" i="22"/>
  <c r="B27" i="22"/>
  <c r="B28" i="22"/>
  <c r="B29" i="22"/>
  <c r="B30" i="22"/>
  <c r="B17" i="22"/>
  <c r="N30" i="22" l="1"/>
  <c r="H35" i="26" s="1"/>
  <c r="D22" i="22"/>
  <c r="H25" i="21" s="1"/>
  <c r="N26" i="22"/>
  <c r="H31" i="26" s="1"/>
  <c r="N24" i="22"/>
  <c r="H29" i="26" s="1"/>
  <c r="N23" i="22"/>
  <c r="H28" i="26" s="1"/>
  <c r="N22" i="22"/>
  <c r="H27" i="26" s="1"/>
  <c r="N21" i="22"/>
  <c r="H26" i="26" s="1"/>
  <c r="N18" i="22"/>
  <c r="H23" i="26" s="1"/>
  <c r="N20" i="22"/>
  <c r="H25" i="26" s="1"/>
  <c r="N19" i="22"/>
  <c r="H24" i="26" s="1"/>
  <c r="I24" i="22"/>
  <c r="H36" i="25" s="1"/>
  <c r="K36" i="25" s="1"/>
  <c r="I22" i="22"/>
  <c r="I25" i="22"/>
  <c r="H37" i="25" s="1"/>
  <c r="K37" i="25" s="1"/>
  <c r="K36" i="26"/>
  <c r="I17" i="22"/>
  <c r="H29" i="25" s="1"/>
  <c r="K29" i="25" s="1"/>
  <c r="I23" i="22"/>
  <c r="H35" i="25" s="1"/>
  <c r="I21" i="22"/>
  <c r="H33" i="25" s="1"/>
  <c r="K33" i="25" s="1"/>
  <c r="D19" i="22"/>
  <c r="H22" i="21" s="1"/>
  <c r="I18" i="22"/>
  <c r="I20" i="22"/>
  <c r="I19" i="22"/>
  <c r="H31" i="25" s="1"/>
  <c r="K31" i="25" s="1"/>
  <c r="I26" i="22"/>
  <c r="H38" i="25" s="1"/>
  <c r="K38" i="25" s="1"/>
  <c r="N25" i="22"/>
  <c r="H30" i="26" s="1"/>
  <c r="D31" i="22"/>
  <c r="H34" i="21" s="1"/>
  <c r="K34" i="21" s="1"/>
  <c r="D30" i="22"/>
  <c r="H33" i="21" s="1"/>
  <c r="D29" i="22"/>
  <c r="H32" i="21" s="1"/>
  <c r="D28" i="22"/>
  <c r="H31" i="21" s="1"/>
  <c r="D27" i="22"/>
  <c r="H30" i="21" s="1"/>
  <c r="D26" i="22"/>
  <c r="H29" i="21" s="1"/>
  <c r="D25" i="22"/>
  <c r="H28" i="21" s="1"/>
  <c r="D24" i="22"/>
  <c r="H27" i="21" s="1"/>
  <c r="D23" i="22"/>
  <c r="H26" i="21" s="1"/>
  <c r="D21" i="22"/>
  <c r="H24" i="21" s="1"/>
  <c r="D20" i="22"/>
  <c r="H23" i="21" s="1"/>
  <c r="D18" i="22"/>
  <c r="H21" i="21" s="1"/>
  <c r="N17" i="22"/>
  <c r="H22" i="26" s="1"/>
  <c r="N29" i="22"/>
  <c r="H34" i="26" s="1"/>
  <c r="K34" i="26" s="1"/>
  <c r="N27" i="22"/>
  <c r="H32" i="26" s="1"/>
  <c r="H22" i="25"/>
  <c r="E22" i="25"/>
  <c r="D17" i="22"/>
  <c r="H20" i="21" s="1"/>
  <c r="C18" i="24"/>
  <c r="C19" i="24"/>
  <c r="C20" i="24"/>
  <c r="C21" i="24"/>
  <c r="C22" i="24"/>
  <c r="C23" i="24"/>
  <c r="C24" i="24"/>
  <c r="C25" i="24"/>
  <c r="C26" i="24"/>
  <c r="C27" i="24"/>
  <c r="C28" i="24"/>
  <c r="C29" i="24"/>
  <c r="C30" i="24"/>
  <c r="C31" i="24"/>
  <c r="B18" i="24"/>
  <c r="B19" i="24"/>
  <c r="B20" i="24"/>
  <c r="B21" i="24"/>
  <c r="B22" i="24"/>
  <c r="B23" i="24"/>
  <c r="B24" i="24"/>
  <c r="B25" i="24"/>
  <c r="B26" i="24"/>
  <c r="B27" i="24"/>
  <c r="B28" i="24"/>
  <c r="B29" i="24"/>
  <c r="B30" i="24"/>
  <c r="B31" i="24"/>
  <c r="N14" i="24"/>
  <c r="M14" i="24"/>
  <c r="L14" i="24"/>
  <c r="K14" i="24"/>
  <c r="J14" i="24"/>
  <c r="I14" i="24"/>
  <c r="H14" i="24"/>
  <c r="G14" i="24"/>
  <c r="F14" i="24"/>
  <c r="E14" i="24"/>
  <c r="D14" i="24"/>
  <c r="C14" i="24"/>
  <c r="N13" i="24"/>
  <c r="M13" i="24"/>
  <c r="L13" i="24"/>
  <c r="K13" i="24"/>
  <c r="J13" i="24"/>
  <c r="I13" i="24"/>
  <c r="H13" i="24"/>
  <c r="G13" i="24"/>
  <c r="F13" i="24"/>
  <c r="E13" i="24"/>
  <c r="D13" i="24"/>
  <c r="C13" i="24"/>
  <c r="N12" i="24"/>
  <c r="M12" i="24"/>
  <c r="L12" i="24"/>
  <c r="K12" i="24"/>
  <c r="J12" i="24"/>
  <c r="I12" i="24"/>
  <c r="H12" i="24"/>
  <c r="G12" i="24"/>
  <c r="F12" i="24"/>
  <c r="E12" i="24"/>
  <c r="D12" i="24"/>
  <c r="C12" i="24"/>
  <c r="N11" i="24"/>
  <c r="M11" i="24"/>
  <c r="L11" i="24"/>
  <c r="K11" i="24"/>
  <c r="J11" i="24"/>
  <c r="I11" i="24"/>
  <c r="H11" i="24"/>
  <c r="G11" i="24"/>
  <c r="F11" i="24"/>
  <c r="E11" i="24"/>
  <c r="D11" i="24"/>
  <c r="C11" i="24"/>
  <c r="N10" i="24"/>
  <c r="M10" i="24"/>
  <c r="L10" i="24"/>
  <c r="K10" i="24"/>
  <c r="J10" i="24"/>
  <c r="I10" i="24"/>
  <c r="H10" i="24"/>
  <c r="D17" i="24" s="1"/>
  <c r="G10" i="24"/>
  <c r="F10" i="24"/>
  <c r="E10" i="24"/>
  <c r="D10" i="24"/>
  <c r="C10" i="24"/>
  <c r="N8" i="24"/>
  <c r="M8" i="24"/>
  <c r="L8" i="24"/>
  <c r="K8" i="24"/>
  <c r="J8" i="24"/>
  <c r="I8" i="24"/>
  <c r="H8" i="24"/>
  <c r="G8" i="24"/>
  <c r="F8" i="24"/>
  <c r="E8" i="24"/>
  <c r="D8" i="24"/>
  <c r="C8" i="24"/>
  <c r="N7" i="24"/>
  <c r="M7" i="24"/>
  <c r="L7" i="24"/>
  <c r="K7" i="24"/>
  <c r="J7" i="24"/>
  <c r="I7" i="24"/>
  <c r="H7" i="24"/>
  <c r="G7" i="24"/>
  <c r="F7" i="24"/>
  <c r="E7" i="24"/>
  <c r="D7" i="24"/>
  <c r="C7" i="24"/>
  <c r="N6" i="24"/>
  <c r="M6" i="24"/>
  <c r="L6" i="24"/>
  <c r="K6" i="24"/>
  <c r="J6" i="24"/>
  <c r="I6" i="24"/>
  <c r="H6" i="24"/>
  <c r="G6" i="24"/>
  <c r="F6" i="24"/>
  <c r="E6" i="24"/>
  <c r="D6" i="24"/>
  <c r="C6" i="24"/>
  <c r="N5" i="24"/>
  <c r="M5" i="24"/>
  <c r="L5" i="24"/>
  <c r="K5" i="24"/>
  <c r="J5" i="24"/>
  <c r="I5" i="24"/>
  <c r="H5" i="24"/>
  <c r="G5" i="24"/>
  <c r="F5" i="24"/>
  <c r="E5" i="24"/>
  <c r="D5" i="24"/>
  <c r="C5" i="24"/>
  <c r="N4" i="24"/>
  <c r="M4" i="24"/>
  <c r="L4" i="24"/>
  <c r="K4" i="24"/>
  <c r="J4" i="24"/>
  <c r="I4" i="24"/>
  <c r="H4" i="24"/>
  <c r="G4" i="24"/>
  <c r="F4" i="24"/>
  <c r="E4" i="24"/>
  <c r="D4" i="24"/>
  <c r="C4" i="24"/>
  <c r="K35" i="25" l="1"/>
  <c r="D27" i="24"/>
  <c r="D21" i="24"/>
  <c r="D31" i="24"/>
  <c r="H39" i="17" s="1"/>
  <c r="K25" i="26"/>
  <c r="K28" i="26"/>
  <c r="D30" i="24"/>
  <c r="H38" i="17" s="1"/>
  <c r="D29" i="24"/>
  <c r="H37" i="17" s="1"/>
  <c r="H25" i="17"/>
  <c r="D28" i="24"/>
  <c r="H36" i="17" s="1"/>
  <c r="K32" i="26"/>
  <c r="K23" i="26"/>
  <c r="K27" i="26"/>
  <c r="K35" i="26"/>
  <c r="K33" i="26"/>
  <c r="K30" i="26"/>
  <c r="K29" i="26"/>
  <c r="H34" i="25"/>
  <c r="K34" i="25" s="1"/>
  <c r="K26" i="26"/>
  <c r="K22" i="26"/>
  <c r="K31" i="26"/>
  <c r="K24" i="26"/>
  <c r="H30" i="25"/>
  <c r="K30" i="25" s="1"/>
  <c r="H32" i="25"/>
  <c r="K32" i="25" s="1"/>
  <c r="D26" i="24"/>
  <c r="H34" i="17" s="1"/>
  <c r="D25" i="24"/>
  <c r="H33" i="17" s="1"/>
  <c r="D24" i="24"/>
  <c r="D22" i="24"/>
  <c r="H30" i="17" s="1"/>
  <c r="D23" i="24"/>
  <c r="H29" i="17"/>
  <c r="D20" i="24"/>
  <c r="H28" i="17" s="1"/>
  <c r="D19" i="24"/>
  <c r="H27" i="17" s="1"/>
  <c r="D18" i="24"/>
  <c r="H26" i="17" s="1"/>
  <c r="H35" i="17"/>
  <c r="K39" i="25" l="1"/>
  <c r="K37" i="26"/>
  <c r="H31" i="17"/>
  <c r="H32" i="17"/>
  <c r="K40" i="25"/>
  <c r="K44" i="25" s="1"/>
  <c r="C18" i="23"/>
  <c r="C19" i="23"/>
  <c r="C20" i="23"/>
  <c r="C21" i="23"/>
  <c r="C22" i="23"/>
  <c r="C23" i="23"/>
  <c r="C24" i="23"/>
  <c r="C25" i="23"/>
  <c r="C26" i="23"/>
  <c r="C27" i="23"/>
  <c r="C28" i="23"/>
  <c r="C29" i="23"/>
  <c r="C30" i="23"/>
  <c r="B18" i="23"/>
  <c r="B19" i="23"/>
  <c r="B20" i="23"/>
  <c r="B21" i="23"/>
  <c r="B22" i="23"/>
  <c r="B23" i="23"/>
  <c r="B24" i="23"/>
  <c r="B25" i="23"/>
  <c r="B26" i="23"/>
  <c r="B27" i="23"/>
  <c r="B28" i="23"/>
  <c r="B29" i="23"/>
  <c r="B30" i="23"/>
  <c r="D30" i="23" s="1" a="1"/>
  <c r="D30" i="23" s="1"/>
  <c r="H40" i="19" s="1"/>
  <c r="B17" i="23"/>
  <c r="C17" i="23"/>
  <c r="N14" i="23"/>
  <c r="M14" i="23"/>
  <c r="L14" i="23"/>
  <c r="K14" i="23"/>
  <c r="J14" i="23"/>
  <c r="I14" i="23"/>
  <c r="H14" i="23"/>
  <c r="G14" i="23"/>
  <c r="F14" i="23"/>
  <c r="E14" i="23"/>
  <c r="D14" i="23"/>
  <c r="C14" i="23"/>
  <c r="N13" i="23"/>
  <c r="M13" i="23"/>
  <c r="L13" i="23"/>
  <c r="K13" i="23"/>
  <c r="J13" i="23"/>
  <c r="I13" i="23"/>
  <c r="H13" i="23"/>
  <c r="G13" i="23"/>
  <c r="F13" i="23"/>
  <c r="E13" i="23"/>
  <c r="D13" i="23"/>
  <c r="C13" i="23"/>
  <c r="N12" i="23"/>
  <c r="M12" i="23"/>
  <c r="L12" i="23"/>
  <c r="K12" i="23"/>
  <c r="J12" i="23"/>
  <c r="I12" i="23"/>
  <c r="H12" i="23"/>
  <c r="G12" i="23"/>
  <c r="F12" i="23"/>
  <c r="E12" i="23"/>
  <c r="D12" i="23"/>
  <c r="C12" i="23"/>
  <c r="N11" i="23"/>
  <c r="M11" i="23"/>
  <c r="L11" i="23"/>
  <c r="K11" i="23"/>
  <c r="J11" i="23"/>
  <c r="I11" i="23"/>
  <c r="H11" i="23"/>
  <c r="G11" i="23"/>
  <c r="F11" i="23"/>
  <c r="E11" i="23"/>
  <c r="D11" i="23"/>
  <c r="C11" i="23"/>
  <c r="N10" i="23"/>
  <c r="M10" i="23"/>
  <c r="L10" i="23"/>
  <c r="K10" i="23"/>
  <c r="J10" i="23"/>
  <c r="I10" i="23"/>
  <c r="H10" i="23"/>
  <c r="G10" i="23"/>
  <c r="F10" i="23"/>
  <c r="E10" i="23"/>
  <c r="D10" i="23"/>
  <c r="C10" i="23"/>
  <c r="N8" i="23"/>
  <c r="M8" i="23"/>
  <c r="L8" i="23"/>
  <c r="K8" i="23"/>
  <c r="J8" i="23"/>
  <c r="I8" i="23"/>
  <c r="H8" i="23"/>
  <c r="G8" i="23"/>
  <c r="F8" i="23"/>
  <c r="E8" i="23"/>
  <c r="D8" i="23"/>
  <c r="C8" i="23"/>
  <c r="N7" i="23"/>
  <c r="M7" i="23"/>
  <c r="L7" i="23"/>
  <c r="K7" i="23"/>
  <c r="J7" i="23"/>
  <c r="I7" i="23"/>
  <c r="H7" i="23"/>
  <c r="G7" i="23"/>
  <c r="F7" i="23"/>
  <c r="E7" i="23"/>
  <c r="D7" i="23"/>
  <c r="C7" i="23"/>
  <c r="N6" i="23"/>
  <c r="M6" i="23"/>
  <c r="L6" i="23"/>
  <c r="K6" i="23"/>
  <c r="J6" i="23"/>
  <c r="I6" i="23"/>
  <c r="H6" i="23"/>
  <c r="G6" i="23"/>
  <c r="F6" i="23"/>
  <c r="E6" i="23"/>
  <c r="D6" i="23"/>
  <c r="C6" i="23"/>
  <c r="N5" i="23"/>
  <c r="M5" i="23"/>
  <c r="L5" i="23"/>
  <c r="K5" i="23"/>
  <c r="J5" i="23"/>
  <c r="I5" i="23"/>
  <c r="H5" i="23"/>
  <c r="G5" i="23"/>
  <c r="F5" i="23"/>
  <c r="E5" i="23"/>
  <c r="D5" i="23"/>
  <c r="C5" i="23"/>
  <c r="N4" i="23"/>
  <c r="M4" i="23"/>
  <c r="L4" i="23"/>
  <c r="K4" i="23"/>
  <c r="J4" i="23"/>
  <c r="I4" i="23"/>
  <c r="H4" i="23"/>
  <c r="G4" i="23"/>
  <c r="F4" i="23"/>
  <c r="E4" i="23"/>
  <c r="D4" i="23"/>
  <c r="C4" i="23"/>
  <c r="N14" i="22"/>
  <c r="M14" i="22"/>
  <c r="L14" i="22"/>
  <c r="K14" i="22"/>
  <c r="J14" i="22"/>
  <c r="I14" i="22"/>
  <c r="H14" i="22"/>
  <c r="G14" i="22"/>
  <c r="F14" i="22"/>
  <c r="E14" i="22"/>
  <c r="D14" i="22"/>
  <c r="C14" i="22"/>
  <c r="N13" i="22"/>
  <c r="M13" i="22"/>
  <c r="L13" i="22"/>
  <c r="K13" i="22"/>
  <c r="J13" i="22"/>
  <c r="I13" i="22"/>
  <c r="H13" i="22"/>
  <c r="G13" i="22"/>
  <c r="F13" i="22"/>
  <c r="E13" i="22"/>
  <c r="D13" i="22"/>
  <c r="C13" i="22"/>
  <c r="N12" i="22"/>
  <c r="M12" i="22"/>
  <c r="L12" i="22"/>
  <c r="K12" i="22"/>
  <c r="J12" i="22"/>
  <c r="I12" i="22"/>
  <c r="H12" i="22"/>
  <c r="G12" i="22"/>
  <c r="F12" i="22"/>
  <c r="E12" i="22"/>
  <c r="D12" i="22"/>
  <c r="C12" i="22"/>
  <c r="N11" i="22"/>
  <c r="M11" i="22"/>
  <c r="L11" i="22"/>
  <c r="K11" i="22"/>
  <c r="J11" i="22"/>
  <c r="I11" i="22"/>
  <c r="H11" i="22"/>
  <c r="G11" i="22"/>
  <c r="F11" i="22"/>
  <c r="E11" i="22"/>
  <c r="D11" i="22"/>
  <c r="C11" i="22"/>
  <c r="N10" i="22"/>
  <c r="M10" i="22"/>
  <c r="L10" i="22"/>
  <c r="K10" i="22"/>
  <c r="J10" i="22"/>
  <c r="I10" i="22"/>
  <c r="H10" i="22"/>
  <c r="G10" i="22"/>
  <c r="F10" i="22"/>
  <c r="E10" i="22"/>
  <c r="D10" i="22"/>
  <c r="C10" i="22"/>
  <c r="N8" i="22"/>
  <c r="M8" i="22"/>
  <c r="L8" i="22"/>
  <c r="K8" i="22"/>
  <c r="J8" i="22"/>
  <c r="I8" i="22"/>
  <c r="H8" i="22"/>
  <c r="G8" i="22"/>
  <c r="F8" i="22"/>
  <c r="E8" i="22"/>
  <c r="D8" i="22"/>
  <c r="C8" i="22"/>
  <c r="N7" i="22"/>
  <c r="M7" i="22"/>
  <c r="L7" i="22"/>
  <c r="K7" i="22"/>
  <c r="J7" i="22"/>
  <c r="I7" i="22"/>
  <c r="H7" i="22"/>
  <c r="G7" i="22"/>
  <c r="F7" i="22"/>
  <c r="E7" i="22"/>
  <c r="D7" i="22"/>
  <c r="C7" i="22"/>
  <c r="N6" i="22"/>
  <c r="M6" i="22"/>
  <c r="L6" i="22"/>
  <c r="K6" i="22"/>
  <c r="J6" i="22"/>
  <c r="I6" i="22"/>
  <c r="H6" i="22"/>
  <c r="G6" i="22"/>
  <c r="F6" i="22"/>
  <c r="E6" i="22"/>
  <c r="D6" i="22"/>
  <c r="C6" i="22"/>
  <c r="N5" i="22"/>
  <c r="M5" i="22"/>
  <c r="L5" i="22"/>
  <c r="K5" i="22"/>
  <c r="J5" i="22"/>
  <c r="I5" i="22"/>
  <c r="H5" i="22"/>
  <c r="G5" i="22"/>
  <c r="F5" i="22"/>
  <c r="E5" i="22"/>
  <c r="D5" i="22"/>
  <c r="C5" i="22"/>
  <c r="N4" i="22"/>
  <c r="M4" i="22"/>
  <c r="L4" i="22"/>
  <c r="K4" i="22"/>
  <c r="J4" i="22"/>
  <c r="I4" i="22"/>
  <c r="H4" i="22"/>
  <c r="G4" i="22"/>
  <c r="F4" i="22"/>
  <c r="E4" i="22"/>
  <c r="D4" i="22"/>
  <c r="C4" i="22"/>
  <c r="D10" i="13"/>
  <c r="E10" i="13"/>
  <c r="F10" i="13"/>
  <c r="G10" i="13"/>
  <c r="H10" i="13"/>
  <c r="I10" i="13"/>
  <c r="J10" i="13"/>
  <c r="K10" i="13"/>
  <c r="L10" i="13"/>
  <c r="M10" i="13"/>
  <c r="N10" i="13"/>
  <c r="D11" i="13"/>
  <c r="E11" i="13"/>
  <c r="F11" i="13"/>
  <c r="G11" i="13"/>
  <c r="H11" i="13"/>
  <c r="I11" i="13"/>
  <c r="J11" i="13"/>
  <c r="K11" i="13"/>
  <c r="L11" i="13"/>
  <c r="M11" i="13"/>
  <c r="N11" i="13"/>
  <c r="D12" i="13"/>
  <c r="E12" i="13"/>
  <c r="F12" i="13"/>
  <c r="G12" i="13"/>
  <c r="H12" i="13"/>
  <c r="I12" i="13"/>
  <c r="J12" i="13"/>
  <c r="K12" i="13"/>
  <c r="L12" i="13"/>
  <c r="M12" i="13"/>
  <c r="N12" i="13"/>
  <c r="D13" i="13"/>
  <c r="E13" i="13"/>
  <c r="F13" i="13"/>
  <c r="G13" i="13"/>
  <c r="H13" i="13"/>
  <c r="I13" i="13"/>
  <c r="J13" i="13"/>
  <c r="K13" i="13"/>
  <c r="L13" i="13"/>
  <c r="M13" i="13"/>
  <c r="N13" i="13"/>
  <c r="D14" i="13"/>
  <c r="E14" i="13"/>
  <c r="F14" i="13"/>
  <c r="G14" i="13"/>
  <c r="H14" i="13"/>
  <c r="I14" i="13"/>
  <c r="J14" i="13"/>
  <c r="K14" i="13"/>
  <c r="L14" i="13"/>
  <c r="M14" i="13"/>
  <c r="N14" i="13"/>
  <c r="C11" i="13"/>
  <c r="C12" i="13"/>
  <c r="C13" i="13"/>
  <c r="C14" i="13"/>
  <c r="C10" i="13"/>
  <c r="D5" i="13"/>
  <c r="E5" i="13"/>
  <c r="F5" i="13"/>
  <c r="G5" i="13"/>
  <c r="H5" i="13"/>
  <c r="I5" i="13"/>
  <c r="J5" i="13"/>
  <c r="K5" i="13"/>
  <c r="L5" i="13"/>
  <c r="M5" i="13"/>
  <c r="N5" i="13"/>
  <c r="D6" i="13"/>
  <c r="E6" i="13"/>
  <c r="F6" i="13"/>
  <c r="G6" i="13"/>
  <c r="H6" i="13"/>
  <c r="I6" i="13"/>
  <c r="J6" i="13"/>
  <c r="K6" i="13"/>
  <c r="L6" i="13"/>
  <c r="M6" i="13"/>
  <c r="N6" i="13"/>
  <c r="D7" i="13"/>
  <c r="E7" i="13"/>
  <c r="F7" i="13"/>
  <c r="G7" i="13"/>
  <c r="H7" i="13"/>
  <c r="I7" i="13"/>
  <c r="J7" i="13"/>
  <c r="K7" i="13"/>
  <c r="L7" i="13"/>
  <c r="M7" i="13"/>
  <c r="N7" i="13"/>
  <c r="D8" i="13"/>
  <c r="E8" i="13"/>
  <c r="F8" i="13"/>
  <c r="G8" i="13"/>
  <c r="H8" i="13"/>
  <c r="I8" i="13"/>
  <c r="J8" i="13"/>
  <c r="K8" i="13"/>
  <c r="L8" i="13"/>
  <c r="M8" i="13"/>
  <c r="N8" i="13"/>
  <c r="C5" i="13"/>
  <c r="C6" i="13"/>
  <c r="C7" i="13"/>
  <c r="C8" i="13"/>
  <c r="D4" i="13"/>
  <c r="E4" i="13"/>
  <c r="F4" i="13"/>
  <c r="G4" i="13"/>
  <c r="H4" i="13"/>
  <c r="I4" i="13"/>
  <c r="J4" i="13"/>
  <c r="K4" i="13"/>
  <c r="L4" i="13"/>
  <c r="M4" i="13"/>
  <c r="N4" i="13"/>
  <c r="C4" i="13"/>
  <c r="K38" i="26" l="1"/>
  <c r="K40" i="26" s="1"/>
  <c r="K10" i="26"/>
  <c r="Q22" i="22" s="1"/>
  <c r="Q23" i="22" s="1"/>
  <c r="I11" i="26" s="1"/>
  <c r="I12" i="26" s="1"/>
  <c r="J13" i="26" s="1"/>
  <c r="D19" i="23" a="1"/>
  <c r="D19" i="23" s="1"/>
  <c r="H29" i="19" s="1"/>
  <c r="D27" i="23" a="1"/>
  <c r="D27" i="23" s="1"/>
  <c r="H37" i="19" s="1"/>
  <c r="D25" i="23" a="1"/>
  <c r="D25" i="23" s="1"/>
  <c r="H35" i="19" s="1"/>
  <c r="D24" i="23" a="1"/>
  <c r="D24" i="23" s="1"/>
  <c r="H34" i="19" s="1"/>
  <c r="D17" i="23"/>
  <c r="H27" i="19" s="1"/>
  <c r="D21" i="23" a="1"/>
  <c r="D21" i="23" s="1"/>
  <c r="H31" i="19" s="1"/>
  <c r="K45" i="25"/>
  <c r="J46" i="25" s="1"/>
  <c r="H46" i="25" s="1"/>
  <c r="K41" i="26"/>
  <c r="J42" i="26" s="1"/>
  <c r="D29" i="23" a="1"/>
  <c r="D29" i="23" s="1"/>
  <c r="H39" i="19" s="1"/>
  <c r="D28" i="23" a="1"/>
  <c r="D28" i="23" s="1"/>
  <c r="H38" i="19" s="1"/>
  <c r="D26" i="23" a="1"/>
  <c r="D26" i="23" s="1"/>
  <c r="H36" i="19" s="1"/>
  <c r="D23" i="23" a="1"/>
  <c r="D23" i="23" s="1"/>
  <c r="H33" i="19" s="1"/>
  <c r="D22" i="23" a="1"/>
  <c r="D22" i="23" s="1"/>
  <c r="H32" i="19" s="1"/>
  <c r="D20" i="23" a="1"/>
  <c r="D20" i="23" s="1"/>
  <c r="H30" i="19" s="1"/>
  <c r="D18" i="23" a="1"/>
  <c r="D18" i="23" s="1"/>
  <c r="H28" i="19" s="1"/>
  <c r="I10" i="21"/>
  <c r="J11" i="21" s="1"/>
  <c r="E2" i="18"/>
  <c r="D2" i="18"/>
  <c r="C2" i="18"/>
  <c r="B2" i="18"/>
  <c r="A2" i="18"/>
  <c r="K44" i="17"/>
  <c r="K43" i="17"/>
  <c r="K22" i="17"/>
  <c r="C30" i="13"/>
  <c r="B30" i="13"/>
  <c r="C29" i="13"/>
  <c r="B29" i="13"/>
  <c r="C28" i="13"/>
  <c r="B28" i="13"/>
  <c r="C27" i="13"/>
  <c r="B27" i="13"/>
  <c r="C26" i="13"/>
  <c r="B26" i="13"/>
  <c r="C25" i="13"/>
  <c r="B25" i="13"/>
  <c r="C24" i="13"/>
  <c r="B24" i="13"/>
  <c r="C23" i="13"/>
  <c r="B23" i="13"/>
  <c r="C22" i="13"/>
  <c r="B22" i="13"/>
  <c r="C21" i="13"/>
  <c r="B21" i="13"/>
  <c r="D21" i="13" s="1" a="1"/>
  <c r="D21" i="13" s="1"/>
  <c r="C20" i="13"/>
  <c r="B20" i="13"/>
  <c r="C19" i="13"/>
  <c r="B19" i="13"/>
  <c r="C18" i="13"/>
  <c r="B18" i="13"/>
  <c r="C17" i="13"/>
  <c r="B17" i="13"/>
  <c r="K45" i="19"/>
  <c r="K24" i="19"/>
  <c r="J16" i="19"/>
  <c r="J15" i="19"/>
  <c r="J14" i="19"/>
  <c r="J13" i="19"/>
  <c r="J12" i="19"/>
  <c r="J11" i="19"/>
  <c r="J10" i="19"/>
  <c r="J9" i="19"/>
  <c r="K45" i="12"/>
  <c r="K24" i="12"/>
  <c r="K25" i="12" s="1"/>
  <c r="J16" i="12"/>
  <c r="J15" i="12"/>
  <c r="J14" i="12"/>
  <c r="J13" i="12"/>
  <c r="J12" i="12"/>
  <c r="J11" i="12"/>
  <c r="J10" i="12"/>
  <c r="J9" i="12"/>
  <c r="A4" i="18" l="1"/>
  <c r="A3" i="18"/>
  <c r="F3" i="18"/>
  <c r="H17" i="18"/>
  <c r="H13" i="26"/>
  <c r="E13" i="26"/>
  <c r="D30" i="13" a="1"/>
  <c r="D30" i="13" s="1"/>
  <c r="D22" i="13" a="1"/>
  <c r="D22" i="13" s="1"/>
  <c r="H32" i="12" s="1"/>
  <c r="K32" i="12" s="1"/>
  <c r="D28" i="13" a="1"/>
  <c r="D28" i="13" s="1"/>
  <c r="D20" i="13" a="1"/>
  <c r="D20" i="13" s="1"/>
  <c r="H30" i="12" s="1"/>
  <c r="K30" i="12" s="1"/>
  <c r="D29" i="13" a="1"/>
  <c r="D29" i="13" s="1"/>
  <c r="H39" i="12" s="1"/>
  <c r="K39" i="12" s="1"/>
  <c r="D24" i="13" a="1"/>
  <c r="D24" i="13" s="1"/>
  <c r="H34" i="12" s="1"/>
  <c r="K34" i="12" s="1"/>
  <c r="D25" i="13" a="1"/>
  <c r="D25" i="13" s="1"/>
  <c r="H35" i="12" s="1"/>
  <c r="K35" i="12" s="1"/>
  <c r="D26" i="13" a="1"/>
  <c r="D26" i="13" s="1"/>
  <c r="H36" i="12" s="1"/>
  <c r="K36" i="12" s="1"/>
  <c r="H19" i="18"/>
  <c r="J17" i="19"/>
  <c r="D27" i="13" a="1"/>
  <c r="D27" i="13" s="1"/>
  <c r="H37" i="12" s="1"/>
  <c r="K37" i="12" s="1"/>
  <c r="D23" i="13" a="1"/>
  <c r="D23" i="13" s="1"/>
  <c r="H33" i="12" s="1"/>
  <c r="K33" i="12" s="1"/>
  <c r="D19" i="13" a="1"/>
  <c r="D19" i="13" s="1"/>
  <c r="H29" i="12" s="1"/>
  <c r="K29" i="12" s="1"/>
  <c r="D18" i="13" a="1"/>
  <c r="D18" i="13" s="1"/>
  <c r="H28" i="12" s="1"/>
  <c r="K28" i="12" s="1"/>
  <c r="D17" i="13" a="1"/>
  <c r="D17" i="13" s="1"/>
  <c r="J17" i="12"/>
  <c r="E46" i="25"/>
  <c r="H11" i="21"/>
  <c r="E11" i="21"/>
  <c r="H20" i="18"/>
  <c r="H21" i="18"/>
  <c r="H23" i="18"/>
  <c r="H25" i="18"/>
  <c r="H28" i="18"/>
  <c r="H22" i="18"/>
  <c r="H24" i="18"/>
  <c r="H26" i="18"/>
  <c r="H27" i="18"/>
  <c r="H29" i="18"/>
  <c r="H18" i="18"/>
  <c r="H30" i="18"/>
  <c r="K20" i="21"/>
  <c r="K36" i="19"/>
  <c r="K29" i="21"/>
  <c r="K34" i="17"/>
  <c r="K25" i="21"/>
  <c r="K30" i="17"/>
  <c r="K32" i="19"/>
  <c r="K39" i="17"/>
  <c r="K30" i="19"/>
  <c r="K23" i="21"/>
  <c r="K28" i="17"/>
  <c r="K32" i="17"/>
  <c r="K34" i="19"/>
  <c r="K27" i="21"/>
  <c r="K31" i="21"/>
  <c r="K36" i="17"/>
  <c r="K38" i="19"/>
  <c r="H38" i="12"/>
  <c r="K38" i="12" s="1"/>
  <c r="K38" i="17"/>
  <c r="K40" i="19"/>
  <c r="H40" i="12"/>
  <c r="K40" i="12" s="1"/>
  <c r="K33" i="21"/>
  <c r="K31" i="17"/>
  <c r="K33" i="19"/>
  <c r="K26" i="21"/>
  <c r="K26" i="17"/>
  <c r="K28" i="19"/>
  <c r="K21" i="21"/>
  <c r="K29" i="19"/>
  <c r="K22" i="21"/>
  <c r="K27" i="17"/>
  <c r="K30" i="21"/>
  <c r="K35" i="17"/>
  <c r="K37" i="19"/>
  <c r="H31" i="12"/>
  <c r="K31" i="12" s="1"/>
  <c r="K24" i="21"/>
  <c r="K29" i="17"/>
  <c r="K31" i="19"/>
  <c r="K35" i="19"/>
  <c r="K28" i="21"/>
  <c r="K33" i="17"/>
  <c r="K37" i="17"/>
  <c r="K39" i="19"/>
  <c r="K32" i="21"/>
  <c r="F11" i="17" l="1"/>
  <c r="K38" i="21"/>
  <c r="K39" i="21" s="1"/>
  <c r="K43" i="21" s="1"/>
  <c r="F12" i="17"/>
  <c r="J13" i="17"/>
  <c r="J14" i="17" s="1"/>
  <c r="B1" i="20"/>
  <c r="J18" i="19"/>
  <c r="B1" i="16"/>
  <c r="F4" i="16" s="1"/>
  <c r="H42" i="26"/>
  <c r="E42" i="26"/>
  <c r="K27" i="19"/>
  <c r="K25" i="17"/>
  <c r="K40" i="17" s="1"/>
  <c r="H27" i="12"/>
  <c r="K27" i="12" s="1"/>
  <c r="K41" i="12" s="1"/>
  <c r="K41" i="19" l="1"/>
  <c r="K42" i="19" s="1"/>
  <c r="J46" i="19" s="1"/>
  <c r="J16" i="17"/>
  <c r="K41" i="17"/>
  <c r="J45" i="17" s="1"/>
  <c r="K42" i="12"/>
  <c r="J46" i="12" s="1"/>
  <c r="F4" i="20"/>
  <c r="C1" i="20"/>
  <c r="C1" i="16"/>
  <c r="C2" i="16" s="1"/>
  <c r="C3" i="16" s="1"/>
  <c r="K44" i="21"/>
  <c r="J45" i="21" s="1"/>
  <c r="E46" i="19" l="1"/>
  <c r="H46" i="19"/>
  <c r="H16" i="17"/>
  <c r="E16" i="17"/>
  <c r="E45" i="17"/>
  <c r="H45" i="17"/>
  <c r="H46" i="12"/>
  <c r="E46" i="12"/>
  <c r="C2" i="20"/>
  <c r="G3" i="20"/>
  <c r="G3" i="16"/>
  <c r="B2" i="16"/>
  <c r="F3" i="16" s="1"/>
  <c r="B3" i="16"/>
  <c r="F5" i="16" s="1"/>
  <c r="G5" i="16"/>
  <c r="H45" i="21"/>
  <c r="E45" i="21"/>
  <c r="C3" i="20" l="1"/>
  <c r="B2" i="20"/>
  <c r="H18" i="19"/>
  <c r="E18" i="19"/>
  <c r="G4" i="16"/>
  <c r="A3" i="16"/>
  <c r="A2" i="16" s="1"/>
  <c r="J18" i="12" s="1"/>
  <c r="F3" i="20" l="1"/>
  <c r="A2" i="20"/>
  <c r="B3" i="20"/>
  <c r="F5" i="20" s="1"/>
  <c r="G5" i="20"/>
  <c r="E18" i="12"/>
  <c r="H18" i="12"/>
  <c r="G4" i="20" l="1"/>
  <c r="A3" i="20"/>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Table1" description="Connection to the 'Table1' query in the workbook." type="5" refreshedVersion="0" background="1">
    <dbPr connection="Provider=Microsoft.Mashup.OleDb.1;Data Source=$Workbook$;Location=Table1;Extended Properties=&quot;&quot;" command="SELECT * FROM [Table1]"/>
  </connection>
  <connection id="2" xr16:uid="{00000000-0015-0000-FFFF-FFFF01000000}" keepAlive="1" name="Query - Table3" description="Connection to the 'Table3' query in the workbook." type="5" refreshedVersion="0" background="1">
    <dbPr connection="Provider=Microsoft.Mashup.OleDb.1;Data Source=$Workbook$;Location=Table3;Extended Properties=&quot;&quot;" command="SELECT * FROM [Table3]"/>
  </connection>
</connections>
</file>

<file path=xl/sharedStrings.xml><?xml version="1.0" encoding="utf-8"?>
<sst xmlns="http://schemas.openxmlformats.org/spreadsheetml/2006/main" count="1220" uniqueCount="302">
  <si>
    <t>gpm</t>
  </si>
  <si>
    <t>سینک آشپزخانه</t>
  </si>
  <si>
    <t>ماشین ظرفشویی</t>
  </si>
  <si>
    <t>دستشویی</t>
  </si>
  <si>
    <t>SFU</t>
  </si>
  <si>
    <t>m</t>
  </si>
  <si>
    <t>شیر کف فلزی</t>
  </si>
  <si>
    <t>تعداد</t>
  </si>
  <si>
    <t>شیر کشویی</t>
  </si>
  <si>
    <t>افت</t>
  </si>
  <si>
    <t>=</t>
  </si>
  <si>
    <t>شیر یکطرفه</t>
  </si>
  <si>
    <t>ارتفاع بالاترین جعبه:</t>
  </si>
  <si>
    <t>حداقل فشار برای بالاترین جعبه:</t>
  </si>
  <si>
    <t>زانویی 45</t>
  </si>
  <si>
    <t>زانویی 90</t>
  </si>
  <si>
    <t>سراهی</t>
  </si>
  <si>
    <t>سراهی انشعاب</t>
  </si>
  <si>
    <t>شیر تنظیم</t>
  </si>
  <si>
    <t>شیر گوشه ای</t>
  </si>
  <si>
    <t>15 (1/2")</t>
  </si>
  <si>
    <t>20 (3/4")</t>
  </si>
  <si>
    <t>25 (1")</t>
  </si>
  <si>
    <t>32 (1 1/4")</t>
  </si>
  <si>
    <t>40 (1 1/2")</t>
  </si>
  <si>
    <t>50 (2")</t>
  </si>
  <si>
    <t>65 (2 1/2")</t>
  </si>
  <si>
    <t>80 (3")</t>
  </si>
  <si>
    <t>افت فشار شیرآلات و اتصالات (طول معادل):</t>
  </si>
  <si>
    <t xml:space="preserve">فاصله افقی پمپ تا رایزر : </t>
  </si>
  <si>
    <t>ارتفاع دورترین مصرف کننده ازپمپ:</t>
  </si>
  <si>
    <t>طول مسیرتقریبی تا دورترین مصرف کننده (جمع مقادیر فوق):</t>
  </si>
  <si>
    <t>افت فشار مسیر:</t>
  </si>
  <si>
    <t xml:space="preserve">) نرخ افت فشار </t>
  </si>
  <si>
    <t>(%</t>
  </si>
  <si>
    <t>نوع وسیله بهداشتی</t>
  </si>
  <si>
    <t>توالت</t>
  </si>
  <si>
    <t>SFU کل</t>
  </si>
  <si>
    <t>مقدار SFU هر وسیله</t>
  </si>
  <si>
    <t>وان خصوصی با شیر</t>
  </si>
  <si>
    <t>سینک آشپزخانه خصوصی با شیر مخلوط</t>
  </si>
  <si>
    <t>ماشین ظرفشویی خصوصی اتوماتیک</t>
  </si>
  <si>
    <t>ماشین لباسشویی خصوصی اتوماتیک</t>
  </si>
  <si>
    <t>دوش خصوصی با شیر مخلوط</t>
  </si>
  <si>
    <t>حمام کامل خصوصی با شیر مخلوط و فلاش تانک</t>
  </si>
  <si>
    <t>دستشویی خصوصی با شیر مخلوط</t>
  </si>
  <si>
    <t>مجموع SFU کل محاسبه شده:</t>
  </si>
  <si>
    <t>دبی آب مصرفی:</t>
  </si>
  <si>
    <t>محاسبه دبی آب مصرفی</t>
  </si>
  <si>
    <t>تاریخ:</t>
  </si>
  <si>
    <t>GPM</t>
  </si>
  <si>
    <t>l/min</t>
  </si>
  <si>
    <t>جمع کل طول مسیر با احتساب طول معادل شیرآلات و اتصالات:</t>
  </si>
  <si>
    <t>وان</t>
  </si>
  <si>
    <t>5.5</t>
  </si>
  <si>
    <t>وان با شیر ترموستاتیک</t>
  </si>
  <si>
    <t>بیده</t>
  </si>
  <si>
    <t>بیده با شیر ترموستاتیک</t>
  </si>
  <si>
    <t>شیر مخلوط</t>
  </si>
  <si>
    <t>دوش</t>
  </si>
  <si>
    <t>شیر سرشلنگی</t>
  </si>
  <si>
    <t>(</t>
  </si>
  <si>
    <t>psi</t>
  </si>
  <si>
    <t>ft</t>
  </si>
  <si>
    <t>برای محاسبه، فقط خانه های با رنگ سبز روشن را کامل کنید، خانه های صورتی نتیجه محاسبات را نشان می دهند، سایر خانه ها حاوی اطلاعات مربوطه می باشند.</t>
  </si>
  <si>
    <t>پروژه:</t>
  </si>
  <si>
    <t>توالت و دستشویی خصوصی با شیر مخلوط و شیر آفتابه و فلاش تانک</t>
  </si>
  <si>
    <t>هد (افت فشار):</t>
  </si>
  <si>
    <t>row</t>
  </si>
  <si>
    <t>ورود به کلکتور یا مخزن</t>
  </si>
  <si>
    <t>خروج از کلکتور یا مخزن</t>
  </si>
  <si>
    <t>test</t>
  </si>
  <si>
    <t>اندازه</t>
  </si>
  <si>
    <t>محاسبات پمپ آتشنشانی</t>
  </si>
  <si>
    <t>نوع ساختمان:</t>
  </si>
  <si>
    <t>زیربنای هر طبقه:</t>
  </si>
  <si>
    <t>پارکینگ:</t>
  </si>
  <si>
    <t>پارکینگ بسته</t>
  </si>
  <si>
    <t>پارکینگ باز</t>
  </si>
  <si>
    <t>بدون پارکینگ</t>
  </si>
  <si>
    <t>مسکونی</t>
  </si>
  <si>
    <t>متر</t>
  </si>
  <si>
    <t>رایزر تر و خشک ترکیبی</t>
  </si>
  <si>
    <t>تعداد طبقات و ارتفاع ساختمان از سطح زمین:</t>
  </si>
  <si>
    <t>نوع پارکینگ:</t>
  </si>
  <si>
    <t>نوع سیستم:</t>
  </si>
  <si>
    <t>نوع</t>
  </si>
  <si>
    <t>متراژ هر طبقه</t>
  </si>
  <si>
    <t>طبقات</t>
  </si>
  <si>
    <t>ارتفاع</t>
  </si>
  <si>
    <t>پارکینگ</t>
  </si>
  <si>
    <t>شبکه بارنده:</t>
  </si>
  <si>
    <t>به شبکه بارنده (اسپرینکلر) نیاز ندارد</t>
  </si>
  <si>
    <t>به شبکه بارنده (اسپرینکلر) نیاز دارد</t>
  </si>
  <si>
    <t>به شبکه بارنده (اسپرینکلر) فقط در پارکینگ نیاز دارد</t>
  </si>
  <si>
    <t>محاسبه دبی آب سیستم آتشنشانی</t>
  </si>
  <si>
    <t>دبی جعبه</t>
  </si>
  <si>
    <t>مترمربع</t>
  </si>
  <si>
    <t>دبی آب آتشنشانی:</t>
  </si>
  <si>
    <t>سیستم مورد نیاز برای لوله عمودی ( جعبه آتشنشانی) بر اساس الزامات مربوطه:</t>
  </si>
  <si>
    <t>سیستم مورد نیاز برای شبکه بارنده (اسپرینکلر) بر اساس الزامات مربوطه:</t>
  </si>
  <si>
    <t>دبی مورد نیاز برای هر جعبه آتشنشانی:</t>
  </si>
  <si>
    <t>ارتفاع دورترین جعبه از پمپ:</t>
  </si>
  <si>
    <t>فاصله افقی دورترین جعبه تا رایزر آتشنشانی:</t>
  </si>
  <si>
    <t xml:space="preserve">فاصله افقی پمپ تا رایزر آتشنشانی: </t>
  </si>
  <si>
    <t>طبقه و</t>
  </si>
  <si>
    <t>مشخصات پروژه (برای تعیین نوع سیستم اطفای حریق):</t>
  </si>
  <si>
    <t>کسبی، تجاری</t>
  </si>
  <si>
    <t>مهمانپذیر، هتل، خوابگاه</t>
  </si>
  <si>
    <t>آموزشی</t>
  </si>
  <si>
    <t>درمانی و بیمارستانی</t>
  </si>
  <si>
    <t>اداری، حرفه ای</t>
  </si>
  <si>
    <t>تجمعی، تفریحی</t>
  </si>
  <si>
    <t>انبار با خطر کم</t>
  </si>
  <si>
    <t>ارتفاع:</t>
  </si>
  <si>
    <t>کمتر از 7 متر</t>
  </si>
  <si>
    <t>بین 7 تا 15 متر</t>
  </si>
  <si>
    <t>بین 15 تا 23 متر</t>
  </si>
  <si>
    <t>بالای 23 متر</t>
  </si>
  <si>
    <t>تا 300 متر مربع</t>
  </si>
  <si>
    <t>بیش از 300 متر مربع</t>
  </si>
  <si>
    <t>کاربری</t>
  </si>
  <si>
    <t>درمانی، بیمارستانی</t>
  </si>
  <si>
    <t>کاربری:</t>
  </si>
  <si>
    <t>دبی اسپرینکلر</t>
  </si>
  <si>
    <t>ماشین لباسشویی عمومی اتوماتیک (3.6 کیلوگرم)</t>
  </si>
  <si>
    <t>ماشین لباسشویی عمومی اتوماتیک (7/3 کیلوگرم)</t>
  </si>
  <si>
    <t>وان عمومی با شیر</t>
  </si>
  <si>
    <t>دوش عمومی با شیر مخلوط</t>
  </si>
  <si>
    <t>دستشویی عمومی با شیر مخلوط</t>
  </si>
  <si>
    <t>توالت عمومی با فلاش تانک و شیر آفتابه</t>
  </si>
  <si>
    <t>سینک عمومی (ادارات و ...)</t>
  </si>
  <si>
    <t>سینک آشپزخانه (هتل ، رستوران و ...)</t>
  </si>
  <si>
    <t>محاسبات پمپ آبرسانی - ساختمان های خصوصی</t>
  </si>
  <si>
    <t>دبی حاصل از بار گرمایی:</t>
  </si>
  <si>
    <t>Btu/hr</t>
  </si>
  <si>
    <t>ضریب اطمینان%</t>
  </si>
  <si>
    <t>افت فشار دیگ آبگرم:</t>
  </si>
  <si>
    <t>100 (4")</t>
  </si>
  <si>
    <t>125 (5")</t>
  </si>
  <si>
    <t>150 (6")</t>
  </si>
  <si>
    <t>200 (8")</t>
  </si>
  <si>
    <t>بر حسب متر</t>
  </si>
  <si>
    <t>بر حسب فوت</t>
  </si>
  <si>
    <t>فاصله افقی دورترین مصرف کننده تا رایزر/ لوله اصلی:</t>
  </si>
  <si>
    <t xml:space="preserve">فاصله افقی پمپ تا رایزر/ لوله اصلی: </t>
  </si>
  <si>
    <t>D200 (8")</t>
  </si>
  <si>
    <t>D150 (6")</t>
  </si>
  <si>
    <t>D125 (5")</t>
  </si>
  <si>
    <t>D100 (4")</t>
  </si>
  <si>
    <t>مربوط به سیرکولاتور گرمایش</t>
  </si>
  <si>
    <t>محاسبات پمپ سیرکولاسیون منبع آبگرم</t>
  </si>
  <si>
    <t>مربوط به سیرکولاتور منبع آبگرم</t>
  </si>
  <si>
    <t>مربوط به سیرکولاتور برگشت آبگرم</t>
  </si>
  <si>
    <t>هد (افت فشار) با احتساب ضریب اطمینان:</t>
  </si>
  <si>
    <t>هد (افت فشار) محاسبه شده با احتساب موارد فوق:</t>
  </si>
  <si>
    <t>افت فشار کویل منبع آبگرم:</t>
  </si>
  <si>
    <t>GPH</t>
  </si>
  <si>
    <t>دبی برگشت آبگرم با احتساب ضریب اطمینان:</t>
  </si>
  <si>
    <t>محاسبات پمپ سیرکولاسیون سیستم گرمایش / سرمایش</t>
  </si>
  <si>
    <t>محاسبه دبی آب سیستم گرمایش / سرمایش</t>
  </si>
  <si>
    <t>دبی حاصل از بار گرمایش / سرمایش:</t>
  </si>
  <si>
    <t>بار محاسبه شده کل پروژه:</t>
  </si>
  <si>
    <t>بار با احتساب ضریب اطمینان:</t>
  </si>
  <si>
    <t>افت فشار در دورترین وسیله گرمایشی/سرمایشی:</t>
  </si>
  <si>
    <t>افت فشار دیگ آبگرم/چیلر:</t>
  </si>
  <si>
    <t>هد (افت فشار) سیستم گرمایش/سرمایش:</t>
  </si>
  <si>
    <t>نوع بار:</t>
  </si>
  <si>
    <t>سرمایش</t>
  </si>
  <si>
    <t>گرمایش</t>
  </si>
  <si>
    <t>طول مسیر تقریبی تا دورترین مصرف کننده (جمع مقادیر فوق با احتساب ضریب 2 برای لوله رفت و برگشت):</t>
  </si>
  <si>
    <t>طول لوله (عمودی و افقی) بین منابع آبگرم تا دیگ ها:</t>
  </si>
  <si>
    <t>طول مسیر تقریبی منابع آبگرم تا دیگ ها (با احتساب ضریب 2 برای لوله رفت و برگشت):</t>
  </si>
  <si>
    <t>طول مسیر تا دورترین مصرف کننده (جمع مقادیر فوق با احتساب ضریب 2 برای لوله رفت و برگشت):</t>
  </si>
  <si>
    <t xml:space="preserve">فاصله افقی پمپ (موتورخانه) تا رایزر/ لوله اصلی: </t>
  </si>
  <si>
    <t>محاسبات پمپ سیرکولاسیون برگشت آبگرم</t>
  </si>
  <si>
    <t>فاصله افقی دورترین محل اتصال به لوله آبگرم یا جعبه کلکتور تا رایزر/ لوله اصلی:</t>
  </si>
  <si>
    <t>ارتفاع دورترین محل اتصال به لوله آبگرم یا جعبه کلکتور از موتورخانه:</t>
  </si>
  <si>
    <t>محاسبه افت فشار یا هد پمپ</t>
  </si>
  <si>
    <t>حداقل فشار مورد نیاز برای بالاترین مصرف کننده:</t>
  </si>
  <si>
    <t>ارتفاع دورترین مصرف کننده از پمپ / موتورخانه:</t>
  </si>
  <si>
    <t>انتخاب شیرآلات و اتصالات (محاسبه افت بصورت طول معادل):</t>
  </si>
  <si>
    <t>محاسبه افت فشار شیرآلات و اتصالات:</t>
  </si>
  <si>
    <t>محاسبه بر اساس 50 درصد طول مسیر</t>
  </si>
  <si>
    <t>نوع:(</t>
  </si>
  <si>
    <t xml:space="preserve">) :نرخ افت فشار </t>
  </si>
  <si>
    <t>فاصله افقی لوله دورترین مصرف کننده تا رایزر:</t>
  </si>
  <si>
    <t>محاسبه بر اساس شیر آلات و اتصالات</t>
  </si>
  <si>
    <t>راهنما:</t>
  </si>
  <si>
    <t>تهیه شده در گروه مکانیک، سازمان نظام مهندسی استان کرمان</t>
  </si>
  <si>
    <t>https://pumpselect.pumpiran.com/</t>
  </si>
  <si>
    <r>
      <t>نام پروژه را اینجا وارد نمائید:</t>
    </r>
    <r>
      <rPr>
        <sz val="9"/>
        <color theme="1"/>
        <rFont val="Arial"/>
        <family val="2"/>
      </rPr>
      <t>▼</t>
    </r>
  </si>
  <si>
    <r>
      <t>تاریخ را اینجا وارد نمائید:</t>
    </r>
    <r>
      <rPr>
        <sz val="9"/>
        <color theme="1"/>
        <rFont val="Arial"/>
        <family val="2"/>
      </rPr>
      <t>▼</t>
    </r>
  </si>
  <si>
    <t>پروژه نمونه</t>
  </si>
  <si>
    <t>دبی:</t>
  </si>
  <si>
    <t>سایز کنتور</t>
  </si>
  <si>
    <t>محاسبات پمپ آبرسانی - ساختمان های عمومی</t>
  </si>
  <si>
    <r>
      <t xml:space="preserve">m </t>
    </r>
    <r>
      <rPr>
        <sz val="12"/>
        <color theme="1"/>
        <rFont val="Calibri"/>
        <family val="2"/>
      </rPr>
      <t>³</t>
    </r>
    <r>
      <rPr>
        <sz val="12"/>
        <color theme="1"/>
        <rFont val="B Nazanin"/>
        <charset val="178"/>
      </rPr>
      <t>/hr</t>
    </r>
  </si>
  <si>
    <t>برای استفاده، در جداول مربوطه اطلاعات مورد نیاز را در خانه های با رنگ سبز روشن وارد نمایید، خانه های صورتی رنگ نتیجه محاسبات را نشان می دهند، سایر خانه ها حاوی اطلاعات مربوطه هستند و قابل تغییر نیستند.</t>
  </si>
  <si>
    <t>تنظیمات مربوط به فرمت چاپ روی کاغذ A4 انجام شده است و قابل تغییر نیست، برای دریافت خروجی در قالب pdf کافیست از گزینه مربوطه در منوی فایل استفاده شود.</t>
  </si>
  <si>
    <t>محاسبه پمپ - Pump calculation</t>
  </si>
  <si>
    <t>مرجع: ASHREA Handbook 2015, HVAC Applications</t>
  </si>
  <si>
    <t>دمای خروجی از منبع (F)</t>
  </si>
  <si>
    <t>-</t>
  </si>
  <si>
    <t>دمای ورودی به منبع (F)</t>
  </si>
  <si>
    <t>x 8/33 x</t>
  </si>
  <si>
    <t>مقدار واقعی آبگرم مصرفی (GPH)</t>
  </si>
  <si>
    <t>بار حرارتی آبگرم مصرفی Btu/hr</t>
  </si>
  <si>
    <t>لیتر</t>
  </si>
  <si>
    <t>گالن</t>
  </si>
  <si>
    <t>ضریب ذخیره منبع</t>
  </si>
  <si>
    <t>x</t>
  </si>
  <si>
    <t>حجم منبع آبگرم gal</t>
  </si>
  <si>
    <t>تبدیل واحد گالن به لیتر</t>
  </si>
  <si>
    <t>ضریب تقاضا</t>
  </si>
  <si>
    <t>حداکثر مصرف آبگرم</t>
  </si>
  <si>
    <t xml:space="preserve">مقدار واقعی آبگرم مصرفی (GPH) </t>
  </si>
  <si>
    <t>►</t>
  </si>
  <si>
    <t>سینک رختشویی</t>
  </si>
  <si>
    <t>ماشین رختشویی</t>
  </si>
  <si>
    <t>سینک ظرفشویی</t>
  </si>
  <si>
    <t>سینک آبدارخانه</t>
  </si>
  <si>
    <t>وان حمام</t>
  </si>
  <si>
    <t>دستشویی و توالت عمومی</t>
  </si>
  <si>
    <t>دستشویی و توالت خصوصی</t>
  </si>
  <si>
    <r>
      <rPr>
        <sz val="11"/>
        <color theme="1"/>
        <rFont val="Calibri"/>
        <family val="2"/>
      </rPr>
      <t xml:space="preserve"> </t>
    </r>
    <r>
      <rPr>
        <sz val="11"/>
        <color theme="1"/>
        <rFont val="B Nazanin"/>
        <charset val="178"/>
      </rPr>
      <t>نوع ساختمان را انتخاب کرده و تعداد وسایل بهداشتی را وارد نمایید</t>
    </r>
  </si>
  <si>
    <r>
      <t xml:space="preserve">وسیله بهداشتی </t>
    </r>
    <r>
      <rPr>
        <sz val="11"/>
        <color theme="1"/>
        <rFont val="Calibri"/>
        <family val="2"/>
      </rPr>
      <t>▼</t>
    </r>
  </si>
  <si>
    <t>کارخانه</t>
  </si>
  <si>
    <t>باشگاه</t>
  </si>
  <si>
    <t>مدرسه</t>
  </si>
  <si>
    <t>مسکونی ویلایی</t>
  </si>
  <si>
    <t>ساختمان اداری</t>
  </si>
  <si>
    <t>هتل</t>
  </si>
  <si>
    <t>بیمارستان</t>
  </si>
  <si>
    <t>ورزشگاه</t>
  </si>
  <si>
    <t>آپارتمان</t>
  </si>
  <si>
    <r>
      <t xml:space="preserve">نوع ساختمان </t>
    </r>
    <r>
      <rPr>
        <sz val="11"/>
        <color theme="1"/>
        <rFont val="Calibri"/>
        <family val="2"/>
      </rPr>
      <t>◄</t>
    </r>
  </si>
  <si>
    <t>حداکثر مصرف آبگرم بصورت گالن در ساعت (GPH)</t>
  </si>
  <si>
    <t>محاسبات مربوط به مقدار واقعی آبگرم مصرفی، حجم منبع آبگرم و بار حرارتی آبگرم مصرفی</t>
  </si>
  <si>
    <t>برای محاسبه، فقط خانه های با رنگ سبز روشن را کامل کنید، خانه های با رنگ صورتی نتیجه محاسبات را نشان می دهند، سایر خانه ها حاوی اطلاعات مربوطه می باشند.</t>
  </si>
  <si>
    <t>محاسبه دبی بار گرمایی آبگرم مصرفی</t>
  </si>
  <si>
    <t>ضریب تقاضا:</t>
  </si>
  <si>
    <t>ضریب ذخیره منبع:</t>
  </si>
  <si>
    <t>مقدار واقعی آبگرم مصرفی:</t>
  </si>
  <si>
    <t>حجم منبع آبگرم:</t>
  </si>
  <si>
    <t>gal</t>
  </si>
  <si>
    <t xml:space="preserve"> ورودی:</t>
  </si>
  <si>
    <t>خروجی:</t>
  </si>
  <si>
    <t>دبی حاصل از بار گرمایی آبگرم مصرفی:</t>
  </si>
  <si>
    <t>حداکثر مصرف آبگرم کل</t>
  </si>
  <si>
    <t>فاصله افقی دورترین وسیله گرمایشی/سرمایشی تا رایزر/ لوله اصلی:</t>
  </si>
  <si>
    <t>ارتفاع دورترین وسیله گرمایشی / سرمایشی از موتورخانه:</t>
  </si>
  <si>
    <t>بار گرمایی آبگرم (دمای آب ورودی و خروجی منبع بر حسب فارنهایت):</t>
  </si>
  <si>
    <t>کم خطر</t>
  </si>
  <si>
    <t>خطر معمولی</t>
  </si>
  <si>
    <t>کلاس خطر ساختمان (برای کلاس پر خطر دبی باید با محاسبات هیدرولیکی انجام شود):</t>
  </si>
  <si>
    <t>(M-SW01/01)</t>
  </si>
  <si>
    <t>این فایل برای سهولت محاسبات مربوط به پمپ های آبرسانی، آتشنشانی و سیرکولاسیون تهیه شده است، و شامل 6 کاربرگ (شیت اکسل) هست که به ترتیب برای محاسبه 1)پمپ آبرسانی ساختمان خصوصی، 2)پمپ آبرسانی ساختمان عمومی، 3)پمپ آتشنشانی، 4)پمپ سیرکولاتور سیستم سرمایش و گرمایش، 5)پمپ سیرکولاتور منبع آبگرم و 6)پمپ سرکولاتور برگشت آبگرم به کار می روند.</t>
  </si>
  <si>
    <t>اطلاعات مربوط به مصارف تجهیزات و افت فشار اتصالات از مبحث 16 مقررات ملی ساختمان (ویرایش 1396) و کتاب راهنمای طراحی سیستم های تهویه مطبوع کریر و اطلاعات مربوط به مصارف و نوع تجهیزات آتشنشانی از شیوه نامه طراحی و نظارت سامانه های اطفاء حریق ویرایش شهریور 1403، و اطلاعات مربوط به محاسبه بار حرارتی آبگرم مصرفی از کتاب (ASHREA APPLICATION 2016) انتخاب شده است.</t>
  </si>
  <si>
    <t>برای انتخاب پمپ میتوان از نرم افزار های مربوط به انتخاب پمپ که برای نمونه معرفی می شود استفاده کنید:</t>
  </si>
  <si>
    <t>https://ezfinder.ebara.com/startmain.aspx</t>
  </si>
  <si>
    <t>تیر 1405</t>
  </si>
  <si>
    <t>توجه: برای محاسبه افت فشار مسیر، در صورتی که اطلاعات شیر آلات و اتصالات در دست نباشد و محاسبه بر اساس 50 درصد طول مسیر مد نظر باشد، لازم است خانه مربوطه انتخاب شود، در غیر اینصورت بایستی نوع، اندازه و تعداد شیر آلات و اتصالات در جدول انتخاب شود.</t>
  </si>
  <si>
    <t>°F</t>
  </si>
  <si>
    <t>مقدار جدید</t>
  </si>
  <si>
    <t>مقدار پیش فرض</t>
  </si>
  <si>
    <t>اختلاف دمای آب رفت و برگشت: (پیش فرض گرمایش20F و سرمایش10F)</t>
  </si>
  <si>
    <t>صافی ( مقدار ضریب)</t>
  </si>
  <si>
    <t>افت فشار صافی:</t>
  </si>
  <si>
    <t>صافی</t>
  </si>
  <si>
    <t>افت فشار کنتور فرعی:</t>
  </si>
  <si>
    <t>کنتور</t>
  </si>
  <si>
    <t>کنتور فرعی</t>
  </si>
  <si>
    <t>دبی کنتور</t>
  </si>
  <si>
    <t>افت کنتور</t>
  </si>
  <si>
    <t>40 (1 1/4")</t>
  </si>
  <si>
    <t>16 (5/8")</t>
  </si>
  <si>
    <t>صافی (سرمایش/گرمایش)</t>
  </si>
  <si>
    <t>صافی (منبع آبگرم)</t>
  </si>
  <si>
    <t>صافی (برگشت آبگرم)</t>
  </si>
  <si>
    <t>بدون عایقکاری</t>
  </si>
  <si>
    <t>وضعیت عایقکاری لوله های آبگرم و برگشت آبگرم:</t>
  </si>
  <si>
    <t>بیشترین فاصله بین منبع آبگرم و محل اتصال به خط آبگرم (با احتساب طول معادل شیر آلات و اتصالات):</t>
  </si>
  <si>
    <t>اختلاف دما بین رفت و برگشت آبگرم: (پیش فرض 10F)</t>
  </si>
  <si>
    <t>محاسبه دبی برگشت آبگرم</t>
  </si>
  <si>
    <t>عایقکاری مناسب</t>
  </si>
  <si>
    <t>q</t>
  </si>
  <si>
    <r>
      <rPr>
        <sz val="11"/>
        <color theme="1"/>
        <rFont val="Arial"/>
        <family val="2"/>
      </rPr>
      <t>∆</t>
    </r>
    <r>
      <rPr>
        <sz val="11"/>
        <color theme="1"/>
        <rFont val="B Nazanin"/>
        <charset val="178"/>
      </rPr>
      <t>T</t>
    </r>
  </si>
  <si>
    <t>بیشترین فاصله</t>
  </si>
  <si>
    <t>L</t>
  </si>
  <si>
    <t>دبی برگشت آبگرم:</t>
  </si>
  <si>
    <r>
      <t xml:space="preserve">برای محاسبه دبی </t>
    </r>
    <r>
      <rPr>
        <u/>
        <sz val="11"/>
        <color theme="1"/>
        <rFont val="B Nazanin"/>
        <charset val="178"/>
      </rPr>
      <t>پمپ برگشت آبگرم</t>
    </r>
    <r>
      <rPr>
        <sz val="11"/>
        <color theme="1"/>
        <rFont val="B Nazanin"/>
        <charset val="178"/>
      </rPr>
      <t>، بایستی ابتدا اطلاعات مربوط به طول مسیر (که برای محاسبه هد مورد استفاده قرار می گیرد) را تکمیل کنید.</t>
    </r>
  </si>
  <si>
    <t>designed by: Nejat Langarizadeh</t>
  </si>
  <si>
    <t>تعداد اسپرینکلر:</t>
  </si>
  <si>
    <t>دبی سیستم شبکه بارنده (برای بیش از 12 عدد کلاس خطر مشخص شود):</t>
  </si>
  <si>
    <t>بدون نیاز به سیستم</t>
  </si>
  <si>
    <t>سیستم لوله کشی تر و خشک بطور مستقل</t>
  </si>
  <si>
    <t>سیستم لوله کشی ترکیبی</t>
  </si>
  <si>
    <t>دبی سیستم لوله عمودی برای همه کاربری ها بجز کاربری غیر مسکونی مرتفع بر اساس کارکرد همزمان 3 جعبه می باشد.</t>
  </si>
  <si>
    <t>تعداد جعبه برای سایر کاربری ها:</t>
  </si>
  <si>
    <t>از اداره آتشنشانی استعلام شود</t>
  </si>
  <si>
    <t>اطلاعات پروژه را وارد کنید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</si>
</sst>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960429]d\ mmmm\ yyyy;@"/>
    <numFmt numFmtId="166" formatCode="[$-160429]d\ mmmm\ yyyy;@"/>
  </numFmts>
  <fonts count="25" x14ac:knownFonts="1">
    <font>
      <sz val="11"/>
      <color theme="1"/>
      <name val="Calibri"/>
      <family val="2"/>
      <scheme val="minor"/>
    </font>
    <font>
      <sz val="11"/>
      <color theme="1"/>
      <name val="B Nazanin"/>
      <charset val="178"/>
    </font>
    <font>
      <sz val="11"/>
      <name val="B Nazanin"/>
      <charset val="178"/>
    </font>
    <font>
      <b/>
      <sz val="11"/>
      <color theme="1"/>
      <name val="B Nazanin"/>
      <charset val="178"/>
    </font>
    <font>
      <sz val="11"/>
      <color theme="1"/>
      <name val="Verdana"/>
      <family val="2"/>
    </font>
    <font>
      <sz val="11"/>
      <color rgb="FF002060"/>
      <name val="Verdana"/>
      <family val="2"/>
    </font>
    <font>
      <sz val="7"/>
      <color theme="1"/>
      <name val="B Nazanin"/>
      <charset val="178"/>
    </font>
    <font>
      <sz val="8"/>
      <color theme="1"/>
      <name val="B Nazanin"/>
      <charset val="178"/>
    </font>
    <font>
      <b/>
      <sz val="12"/>
      <color theme="1"/>
      <name val="B Nazanin"/>
      <charset val="178"/>
    </font>
    <font>
      <sz val="12"/>
      <color theme="1"/>
      <name val="B Nazanin"/>
      <charset val="178"/>
    </font>
    <font>
      <b/>
      <sz val="12"/>
      <name val="B Nazanin"/>
      <charset val="178"/>
    </font>
    <font>
      <sz val="12"/>
      <color theme="1"/>
      <name val="Calibri"/>
      <family val="2"/>
    </font>
    <font>
      <sz val="9"/>
      <color theme="1"/>
      <name val="B Nazanin"/>
      <charset val="178"/>
    </font>
    <font>
      <b/>
      <sz val="14"/>
      <color theme="1"/>
      <name val="B Nazanin"/>
      <charset val="178"/>
    </font>
    <font>
      <u/>
      <sz val="11"/>
      <color theme="10"/>
      <name val="Calibri"/>
      <family val="2"/>
      <scheme val="minor"/>
    </font>
    <font>
      <sz val="9"/>
      <color theme="1"/>
      <name val="Arial"/>
      <family val="2"/>
    </font>
    <font>
      <sz val="14"/>
      <color theme="1"/>
      <name val="B Nazanin"/>
      <charset val="178"/>
    </font>
    <font>
      <b/>
      <sz val="18"/>
      <color theme="1"/>
      <name val="B Nazanin"/>
      <charset val="178"/>
    </font>
    <font>
      <b/>
      <sz val="20"/>
      <color theme="1"/>
      <name val="B Nazanin"/>
      <charset val="178"/>
    </font>
    <font>
      <sz val="11"/>
      <color theme="1"/>
      <name val="Calibri"/>
      <family val="2"/>
      <charset val="178"/>
      <scheme val="minor"/>
    </font>
    <font>
      <sz val="11"/>
      <color theme="1"/>
      <name val="Calibri"/>
      <family val="2"/>
    </font>
    <font>
      <sz val="10"/>
      <color theme="1"/>
      <name val="B Nazanin"/>
      <charset val="178"/>
    </font>
    <font>
      <sz val="11"/>
      <color theme="10"/>
      <name val="Calibri"/>
      <family val="2"/>
      <scheme val="minor"/>
    </font>
    <font>
      <u/>
      <sz val="11"/>
      <color theme="1"/>
      <name val="B Nazanin"/>
      <charset val="178"/>
    </font>
    <font>
      <sz val="11"/>
      <color theme="1"/>
      <name val="Arial"/>
      <family val="2"/>
    </font>
  </fonts>
  <fills count="17">
    <fill>
      <patternFill patternType="none"/>
    </fill>
    <fill>
      <patternFill patternType="gray125"/>
    </fill>
    <fill>
      <patternFill patternType="solid">
        <fgColor theme="9" tint="0.79998168889431442"/>
        <bgColor indexed="64"/>
      </patternFill>
    </fill>
    <fill>
      <patternFill patternType="solid">
        <fgColor rgb="FF66FF66"/>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CCFF"/>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66FF33"/>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79998168889431442"/>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s>
  <cellStyleXfs count="3">
    <xf numFmtId="0" fontId="0" fillId="0" borderId="0"/>
    <xf numFmtId="0" fontId="14" fillId="0" borderId="0" applyNumberFormat="0" applyFill="0" applyBorder="0" applyAlignment="0" applyProtection="0"/>
    <xf numFmtId="0" fontId="19" fillId="0" borderId="0"/>
  </cellStyleXfs>
  <cellXfs count="322">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xf numFmtId="0" fontId="4" fillId="0" borderId="0" xfId="0" applyFont="1" applyAlignment="1">
      <alignment horizontal="center" vertical="center"/>
    </xf>
    <xf numFmtId="0" fontId="5" fillId="2" borderId="0" xfId="0" applyFont="1" applyFill="1" applyAlignment="1">
      <alignment horizontal="center" vertical="center"/>
    </xf>
    <xf numFmtId="0" fontId="1"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7" borderId="0" xfId="0" applyFont="1" applyFill="1" applyAlignment="1">
      <alignment horizontal="center" vertical="center"/>
    </xf>
    <xf numFmtId="0" fontId="1" fillId="7" borderId="0" xfId="0" applyFont="1" applyFill="1" applyAlignment="1">
      <alignment vertical="center"/>
    </xf>
    <xf numFmtId="0" fontId="6" fillId="7" borderId="0" xfId="0" applyFont="1" applyFill="1" applyAlignment="1">
      <alignment horizontal="center" vertical="center"/>
    </xf>
    <xf numFmtId="0" fontId="1" fillId="3" borderId="2"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14" xfId="0" applyFont="1" applyFill="1" applyBorder="1" applyAlignment="1">
      <alignment horizontal="center" vertical="center"/>
    </xf>
    <xf numFmtId="0" fontId="2" fillId="4" borderId="14" xfId="0" applyFont="1" applyFill="1" applyBorder="1" applyAlignment="1">
      <alignment horizontal="center" vertical="center"/>
    </xf>
    <xf numFmtId="0" fontId="1" fillId="4" borderId="4" xfId="0" applyFont="1" applyFill="1" applyBorder="1" applyAlignment="1">
      <alignment horizontal="center" vertical="center"/>
    </xf>
    <xf numFmtId="0" fontId="1" fillId="3" borderId="1" xfId="0" applyFont="1" applyFill="1" applyBorder="1" applyAlignment="1" applyProtection="1">
      <alignment horizontal="center" vertical="center"/>
      <protection locked="0"/>
    </xf>
    <xf numFmtId="0" fontId="2" fillId="3" borderId="14" xfId="0" applyFont="1" applyFill="1" applyBorder="1" applyAlignment="1" applyProtection="1">
      <alignment horizontal="center" vertical="center"/>
      <protection locked="0"/>
    </xf>
    <xf numFmtId="164" fontId="4" fillId="0" borderId="0" xfId="0" applyNumberFormat="1" applyFont="1" applyAlignment="1">
      <alignment horizontal="center" vertical="center"/>
    </xf>
    <xf numFmtId="0" fontId="4" fillId="0" borderId="1" xfId="0" applyFont="1" applyBorder="1" applyAlignment="1">
      <alignment horizontal="center" vertical="center"/>
    </xf>
    <xf numFmtId="0" fontId="5" fillId="0" borderId="0" xfId="0" applyFont="1" applyAlignment="1">
      <alignment horizontal="center" vertical="center"/>
    </xf>
    <xf numFmtId="0" fontId="1" fillId="4" borderId="1" xfId="0" applyFont="1" applyFill="1" applyBorder="1" applyAlignment="1">
      <alignment horizontal="right" vertical="center"/>
    </xf>
    <xf numFmtId="164" fontId="4" fillId="6" borderId="0" xfId="0" applyNumberFormat="1" applyFont="1" applyFill="1" applyAlignment="1">
      <alignment horizontal="center" vertical="center"/>
    </xf>
    <xf numFmtId="0" fontId="4" fillId="0" borderId="0" xfId="0" applyFont="1" applyAlignment="1">
      <alignment vertical="center"/>
    </xf>
    <xf numFmtId="2" fontId="1" fillId="4" borderId="14" xfId="0" applyNumberFormat="1" applyFont="1" applyFill="1" applyBorder="1" applyAlignment="1">
      <alignment horizontal="center" vertical="center"/>
    </xf>
    <xf numFmtId="0" fontId="9" fillId="6" borderId="12" xfId="0" applyFont="1" applyFill="1" applyBorder="1" applyAlignment="1">
      <alignment horizontal="center" vertical="center"/>
    </xf>
    <xf numFmtId="0" fontId="9" fillId="6" borderId="12" xfId="0" applyFont="1" applyFill="1" applyBorder="1" applyAlignment="1">
      <alignment vertical="center"/>
    </xf>
    <xf numFmtId="164" fontId="8" fillId="6" borderId="15" xfId="0" applyNumberFormat="1" applyFont="1" applyFill="1" applyBorder="1" applyAlignment="1">
      <alignment vertical="center"/>
    </xf>
    <xf numFmtId="0" fontId="8" fillId="6" borderId="19"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3" xfId="0" applyFont="1" applyFill="1" applyBorder="1" applyAlignment="1">
      <alignment vertical="center"/>
    </xf>
    <xf numFmtId="0" fontId="1" fillId="4" borderId="4" xfId="0" applyFont="1" applyFill="1" applyBorder="1" applyAlignment="1">
      <alignment horizontal="right" vertical="center"/>
    </xf>
    <xf numFmtId="0" fontId="7" fillId="7" borderId="0" xfId="0" applyFont="1" applyFill="1" applyAlignment="1">
      <alignment vertical="center"/>
    </xf>
    <xf numFmtId="0" fontId="1" fillId="0" borderId="23" xfId="0" applyFont="1" applyBorder="1" applyAlignment="1">
      <alignment horizontal="center" vertical="center"/>
    </xf>
    <xf numFmtId="0" fontId="1" fillId="0" borderId="21" xfId="0" applyFont="1" applyBorder="1" applyAlignment="1">
      <alignment horizontal="center" vertical="center"/>
    </xf>
    <xf numFmtId="0" fontId="1" fillId="3" borderId="3" xfId="0" applyFont="1" applyFill="1" applyBorder="1" applyAlignment="1" applyProtection="1">
      <alignment horizontal="center" vertical="center"/>
      <protection locked="0"/>
    </xf>
    <xf numFmtId="0" fontId="1" fillId="3" borderId="14" xfId="0" applyFont="1" applyFill="1" applyBorder="1" applyAlignment="1" applyProtection="1">
      <alignment horizontal="center" vertical="center"/>
      <protection locked="0"/>
    </xf>
    <xf numFmtId="2" fontId="1" fillId="0" borderId="0" xfId="0" applyNumberFormat="1" applyFont="1" applyAlignment="1">
      <alignment horizontal="center" vertical="center"/>
    </xf>
    <xf numFmtId="0" fontId="1" fillId="8" borderId="1" xfId="0" applyFont="1" applyFill="1" applyBorder="1" applyAlignment="1">
      <alignment horizontal="center" vertical="center"/>
    </xf>
    <xf numFmtId="0" fontId="1" fillId="8" borderId="18" xfId="0" applyFont="1" applyFill="1" applyBorder="1" applyAlignment="1">
      <alignment horizontal="center" vertical="center"/>
    </xf>
    <xf numFmtId="0" fontId="1" fillId="9" borderId="1" xfId="0" applyFont="1" applyFill="1" applyBorder="1" applyAlignment="1">
      <alignment horizontal="center" vertical="center"/>
    </xf>
    <xf numFmtId="0" fontId="1" fillId="9" borderId="18" xfId="0" applyFont="1" applyFill="1" applyBorder="1" applyAlignment="1">
      <alignment horizontal="center" vertical="center"/>
    </xf>
    <xf numFmtId="0" fontId="1" fillId="9" borderId="13" xfId="0" applyFont="1" applyFill="1" applyBorder="1" applyAlignment="1">
      <alignment horizontal="center" vertical="center"/>
    </xf>
    <xf numFmtId="0" fontId="1" fillId="9" borderId="25" xfId="0" applyFont="1" applyFill="1" applyBorder="1" applyAlignment="1">
      <alignment horizontal="center" vertical="center"/>
    </xf>
    <xf numFmtId="0" fontId="1" fillId="10" borderId="10" xfId="0" applyFont="1" applyFill="1" applyBorder="1"/>
    <xf numFmtId="0" fontId="1" fillId="10" borderId="1" xfId="0" applyFont="1" applyFill="1" applyBorder="1" applyAlignment="1">
      <alignment horizontal="center" vertical="center"/>
    </xf>
    <xf numFmtId="0" fontId="1" fillId="10" borderId="18" xfId="0" applyFont="1" applyFill="1" applyBorder="1" applyAlignment="1">
      <alignment horizontal="center" vertical="center"/>
    </xf>
    <xf numFmtId="0" fontId="1" fillId="10" borderId="11" xfId="0" applyFont="1" applyFill="1" applyBorder="1"/>
    <xf numFmtId="0" fontId="1" fillId="10" borderId="13" xfId="0" applyFont="1" applyFill="1" applyBorder="1" applyAlignment="1">
      <alignment horizontal="center" vertical="center"/>
    </xf>
    <xf numFmtId="0" fontId="1" fillId="10" borderId="25" xfId="0" applyFont="1" applyFill="1" applyBorder="1" applyAlignment="1">
      <alignment horizontal="center" vertical="center"/>
    </xf>
    <xf numFmtId="0" fontId="1" fillId="4" borderId="26" xfId="0" applyFont="1" applyFill="1" applyBorder="1" applyAlignment="1">
      <alignment horizontal="right" vertical="center"/>
    </xf>
    <xf numFmtId="164" fontId="1" fillId="6" borderId="27" xfId="0" applyNumberFormat="1" applyFont="1" applyFill="1" applyBorder="1" applyAlignment="1" applyProtection="1">
      <alignment horizontal="center" vertical="center"/>
      <protection locked="0"/>
    </xf>
    <xf numFmtId="0" fontId="1" fillId="0" borderId="32" xfId="0" applyFont="1" applyBorder="1" applyAlignment="1">
      <alignment horizontal="center" vertical="center"/>
    </xf>
    <xf numFmtId="0" fontId="1" fillId="0" borderId="0" xfId="0" applyFont="1" applyAlignment="1" applyProtection="1">
      <alignment horizontal="center" vertical="center"/>
      <protection locked="0"/>
    </xf>
    <xf numFmtId="0" fontId="2" fillId="0" borderId="32" xfId="0" applyFont="1" applyBorder="1" applyAlignment="1">
      <alignment horizontal="center" vertical="center"/>
    </xf>
    <xf numFmtId="2" fontId="1" fillId="0" borderId="32" xfId="0" applyNumberFormat="1" applyFont="1" applyBorder="1" applyAlignment="1">
      <alignment horizontal="center" vertical="center"/>
    </xf>
    <xf numFmtId="0" fontId="9" fillId="0" borderId="34" xfId="0" applyFont="1" applyBorder="1" applyAlignment="1">
      <alignment horizontal="center" vertical="center"/>
    </xf>
    <xf numFmtId="0" fontId="9" fillId="0" borderId="34" xfId="0" applyFont="1" applyBorder="1" applyAlignment="1">
      <alignment vertical="center"/>
    </xf>
    <xf numFmtId="164" fontId="8" fillId="0" borderId="34" xfId="0" applyNumberFormat="1" applyFont="1" applyBorder="1" applyAlignment="1">
      <alignment vertical="center"/>
    </xf>
    <xf numFmtId="0" fontId="1" fillId="0" borderId="0" xfId="0" applyFont="1" applyAlignment="1" applyProtection="1">
      <alignment vertical="center"/>
      <protection locked="0"/>
    </xf>
    <xf numFmtId="0" fontId="1" fillId="0" borderId="31" xfId="0" applyFont="1" applyBorder="1" applyAlignment="1">
      <alignment vertical="center"/>
    </xf>
    <xf numFmtId="0" fontId="1" fillId="0" borderId="32" xfId="0" applyFont="1" applyBorder="1" applyAlignment="1">
      <alignment vertical="center"/>
    </xf>
    <xf numFmtId="0" fontId="8" fillId="0" borderId="31" xfId="0" applyFont="1" applyBorder="1" applyAlignment="1">
      <alignment vertical="center"/>
    </xf>
    <xf numFmtId="164" fontId="10" fillId="0" borderId="32" xfId="0" applyNumberFormat="1" applyFont="1" applyBorder="1" applyAlignment="1">
      <alignment vertical="center"/>
    </xf>
    <xf numFmtId="0" fontId="1" fillId="0" borderId="31" xfId="0" applyFont="1" applyBorder="1" applyAlignment="1" applyProtection="1">
      <alignment vertical="center"/>
      <protection locked="0"/>
    </xf>
    <xf numFmtId="0" fontId="8" fillId="0" borderId="33" xfId="0" applyFont="1" applyBorder="1" applyAlignment="1">
      <alignment vertical="center"/>
    </xf>
    <xf numFmtId="0" fontId="8" fillId="0" borderId="34" xfId="0" applyFont="1" applyBorder="1" applyAlignment="1">
      <alignment vertical="center"/>
    </xf>
    <xf numFmtId="164" fontId="10" fillId="0" borderId="34" xfId="0" applyNumberFormat="1" applyFont="1" applyBorder="1" applyAlignment="1">
      <alignment vertical="center"/>
    </xf>
    <xf numFmtId="164" fontId="10" fillId="0" borderId="35" xfId="0" applyNumberFormat="1" applyFont="1" applyBorder="1" applyAlignment="1">
      <alignment vertical="center"/>
    </xf>
    <xf numFmtId="0" fontId="1" fillId="0" borderId="36" xfId="0" applyFont="1" applyBorder="1" applyAlignment="1">
      <alignment vertical="center"/>
    </xf>
    <xf numFmtId="0" fontId="1" fillId="0" borderId="26" xfId="0" applyFont="1" applyBorder="1" applyAlignment="1">
      <alignment vertical="center"/>
    </xf>
    <xf numFmtId="0" fontId="4" fillId="0" borderId="26" xfId="0" applyFont="1" applyBorder="1" applyAlignment="1">
      <alignment horizontal="center" vertical="center"/>
    </xf>
    <xf numFmtId="0" fontId="1" fillId="0" borderId="37" xfId="0" applyFont="1" applyBorder="1" applyAlignment="1">
      <alignment horizontal="center" vertical="center"/>
    </xf>
    <xf numFmtId="0" fontId="1" fillId="5" borderId="5" xfId="0" applyFont="1" applyFill="1" applyBorder="1" applyAlignment="1">
      <alignment horizontal="center" vertical="center"/>
    </xf>
    <xf numFmtId="0" fontId="1" fillId="5" borderId="7" xfId="0" applyFont="1" applyFill="1" applyBorder="1" applyAlignment="1">
      <alignment vertical="center"/>
    </xf>
    <xf numFmtId="12" fontId="1" fillId="0" borderId="0" xfId="0" applyNumberFormat="1" applyFont="1" applyAlignment="1">
      <alignment horizontal="center" vertical="center"/>
    </xf>
    <xf numFmtId="164" fontId="1" fillId="4" borderId="14" xfId="0" applyNumberFormat="1" applyFont="1" applyFill="1" applyBorder="1" applyAlignment="1">
      <alignment horizontal="center" vertical="center"/>
    </xf>
    <xf numFmtId="0" fontId="1" fillId="7" borderId="31" xfId="0" applyFont="1" applyFill="1" applyBorder="1" applyAlignment="1">
      <alignment vertical="center"/>
    </xf>
    <xf numFmtId="0" fontId="1" fillId="5" borderId="7" xfId="0" applyFont="1" applyFill="1" applyBorder="1" applyAlignment="1" applyProtection="1">
      <alignment vertical="center"/>
      <protection locked="0"/>
    </xf>
    <xf numFmtId="165" fontId="1" fillId="7" borderId="31" xfId="0" applyNumberFormat="1" applyFont="1" applyFill="1" applyBorder="1" applyAlignment="1" applyProtection="1">
      <alignment vertical="center"/>
      <protection locked="0"/>
    </xf>
    <xf numFmtId="0" fontId="1" fillId="4" borderId="3" xfId="0" applyFont="1" applyFill="1" applyBorder="1" applyAlignment="1">
      <alignment horizontal="right" vertical="center"/>
    </xf>
    <xf numFmtId="0" fontId="1" fillId="4" borderId="2" xfId="0" applyFont="1" applyFill="1" applyBorder="1" applyAlignment="1">
      <alignment horizontal="right" vertical="center"/>
    </xf>
    <xf numFmtId="0" fontId="9" fillId="4" borderId="3" xfId="0" applyFont="1" applyFill="1" applyBorder="1" applyAlignment="1">
      <alignment horizontal="center" vertical="center"/>
    </xf>
    <xf numFmtId="0" fontId="1" fillId="0" borderId="0" xfId="2" applyFont="1" applyAlignment="1">
      <alignment vertical="center"/>
    </xf>
    <xf numFmtId="0" fontId="16" fillId="0" borderId="0" xfId="2" applyFont="1" applyAlignment="1">
      <alignment vertical="center"/>
    </xf>
    <xf numFmtId="0" fontId="1" fillId="11" borderId="0" xfId="2" applyFont="1" applyFill="1" applyAlignment="1">
      <alignment vertical="center"/>
    </xf>
    <xf numFmtId="0" fontId="1" fillId="6" borderId="35" xfId="2" applyFont="1" applyFill="1" applyBorder="1" applyAlignment="1">
      <alignment horizontal="center" vertical="center"/>
    </xf>
    <xf numFmtId="0" fontId="1" fillId="13" borderId="33" xfId="2" applyFont="1" applyFill="1" applyBorder="1" applyAlignment="1">
      <alignment horizontal="center" vertical="center"/>
    </xf>
    <xf numFmtId="164" fontId="3" fillId="6" borderId="48" xfId="2" applyNumberFormat="1" applyFont="1" applyFill="1" applyBorder="1" applyAlignment="1">
      <alignment horizontal="center" vertical="center"/>
    </xf>
    <xf numFmtId="164" fontId="1" fillId="6" borderId="32" xfId="2" applyNumberFormat="1" applyFont="1" applyFill="1" applyBorder="1" applyAlignment="1">
      <alignment horizontal="center" vertical="center"/>
    </xf>
    <xf numFmtId="0" fontId="1" fillId="12" borderId="31" xfId="2" applyFont="1" applyFill="1" applyBorder="1" applyAlignment="1" applyProtection="1">
      <alignment horizontal="center" vertical="center"/>
      <protection locked="0"/>
    </xf>
    <xf numFmtId="0" fontId="3" fillId="6" borderId="49" xfId="2" applyFont="1" applyFill="1" applyBorder="1" applyAlignment="1">
      <alignment horizontal="center" vertical="center"/>
    </xf>
    <xf numFmtId="0" fontId="1" fillId="14" borderId="25" xfId="2" applyFont="1" applyFill="1" applyBorder="1" applyAlignment="1">
      <alignment horizontal="center" vertical="center"/>
    </xf>
    <xf numFmtId="0" fontId="1" fillId="14" borderId="13" xfId="2" applyFont="1" applyFill="1" applyBorder="1" applyAlignment="1">
      <alignment horizontal="center" vertical="center"/>
    </xf>
    <xf numFmtId="0" fontId="1" fillId="15" borderId="11" xfId="2" applyFont="1" applyFill="1" applyBorder="1" applyAlignment="1">
      <alignment vertical="center"/>
    </xf>
    <xf numFmtId="0" fontId="1" fillId="14" borderId="18" xfId="2" applyFont="1" applyFill="1" applyBorder="1" applyAlignment="1">
      <alignment horizontal="center" vertical="center"/>
    </xf>
    <xf numFmtId="0" fontId="1" fillId="14" borderId="1" xfId="2" applyFont="1" applyFill="1" applyBorder="1" applyAlignment="1">
      <alignment horizontal="center" vertical="center"/>
    </xf>
    <xf numFmtId="0" fontId="1" fillId="15" borderId="10" xfId="2" applyFont="1" applyFill="1" applyBorder="1" applyAlignment="1">
      <alignment vertical="center"/>
    </xf>
    <xf numFmtId="0" fontId="20" fillId="15" borderId="53" xfId="2" applyFont="1" applyFill="1" applyBorder="1" applyAlignment="1">
      <alignment horizontal="center" vertical="center" wrapText="1"/>
    </xf>
    <xf numFmtId="0" fontId="20" fillId="15" borderId="55" xfId="2" applyFont="1" applyFill="1" applyBorder="1" applyAlignment="1">
      <alignment horizontal="center" vertical="center"/>
    </xf>
    <xf numFmtId="0" fontId="21" fillId="11" borderId="0" xfId="2" applyFont="1" applyFill="1" applyAlignment="1">
      <alignment vertical="center" wrapText="1"/>
    </xf>
    <xf numFmtId="0" fontId="16" fillId="12" borderId="7" xfId="2" applyFont="1" applyFill="1" applyBorder="1" applyAlignment="1">
      <alignment horizontal="left" vertical="center"/>
    </xf>
    <xf numFmtId="0" fontId="16" fillId="12" borderId="5" xfId="2" applyFont="1" applyFill="1" applyBorder="1" applyAlignment="1">
      <alignment horizontal="center" vertical="center"/>
    </xf>
    <xf numFmtId="0" fontId="1" fillId="11" borderId="0" xfId="2" applyFont="1" applyFill="1" applyAlignment="1">
      <alignment horizontal="center" vertical="center"/>
    </xf>
    <xf numFmtId="0" fontId="1" fillId="4" borderId="10" xfId="2" applyFont="1" applyFill="1" applyBorder="1" applyAlignment="1">
      <alignment vertical="center"/>
    </xf>
    <xf numFmtId="0" fontId="1" fillId="4" borderId="20" xfId="0" applyFont="1" applyFill="1" applyBorder="1" applyAlignment="1">
      <alignment vertical="center"/>
    </xf>
    <xf numFmtId="0" fontId="1" fillId="14" borderId="4" xfId="2" applyFont="1" applyFill="1" applyBorder="1" applyAlignment="1">
      <alignment horizontal="center" vertical="center"/>
    </xf>
    <xf numFmtId="0" fontId="1" fillId="14" borderId="19" xfId="2" applyFont="1" applyFill="1" applyBorder="1" applyAlignment="1">
      <alignment horizontal="center" vertical="center"/>
    </xf>
    <xf numFmtId="0" fontId="9" fillId="4" borderId="14" xfId="0" applyFont="1" applyFill="1" applyBorder="1" applyAlignment="1">
      <alignment horizontal="center" vertical="center"/>
    </xf>
    <xf numFmtId="0" fontId="21" fillId="6" borderId="3" xfId="0" applyFont="1" applyFill="1" applyBorder="1" applyAlignment="1">
      <alignment horizontal="right" vertical="center"/>
    </xf>
    <xf numFmtId="0" fontId="9" fillId="6" borderId="12" xfId="0" applyFont="1" applyFill="1" applyBorder="1" applyAlignment="1">
      <alignment horizontal="right" vertical="center"/>
    </xf>
    <xf numFmtId="0" fontId="1" fillId="0" borderId="26" xfId="0" applyFont="1" applyBorder="1" applyAlignment="1">
      <alignment horizontal="right" vertical="center"/>
    </xf>
    <xf numFmtId="0" fontId="1" fillId="0" borderId="26" xfId="0" applyFont="1" applyBorder="1" applyAlignment="1" applyProtection="1">
      <alignment vertical="center"/>
      <protection locked="0"/>
    </xf>
    <xf numFmtId="0" fontId="1" fillId="3" borderId="1" xfId="0" applyFont="1" applyFill="1" applyBorder="1" applyAlignment="1" applyProtection="1">
      <alignment vertical="center"/>
      <protection locked="0"/>
    </xf>
    <xf numFmtId="0" fontId="1" fillId="3" borderId="0" xfId="0" applyFont="1" applyFill="1" applyAlignment="1" applyProtection="1">
      <alignment horizontal="center" vertical="center"/>
      <protection locked="0"/>
    </xf>
    <xf numFmtId="0" fontId="1" fillId="0" borderId="24" xfId="0" applyFont="1" applyBorder="1" applyAlignment="1">
      <alignment horizontal="center" vertical="center"/>
    </xf>
    <xf numFmtId="0" fontId="1" fillId="3" borderId="40" xfId="0" applyFont="1" applyFill="1" applyBorder="1" applyAlignment="1" applyProtection="1">
      <alignment horizontal="center" vertical="center"/>
      <protection locked="0"/>
    </xf>
    <xf numFmtId="0" fontId="1" fillId="4" borderId="3" xfId="0" applyFont="1" applyFill="1" applyBorder="1" applyAlignment="1" applyProtection="1">
      <alignment horizontal="center" vertical="center"/>
      <protection locked="0"/>
    </xf>
    <xf numFmtId="0" fontId="1" fillId="4" borderId="3" xfId="0" applyFont="1" applyFill="1" applyBorder="1" applyAlignment="1">
      <alignment horizontal="left" vertical="center"/>
    </xf>
    <xf numFmtId="0" fontId="1" fillId="3" borderId="4" xfId="0" applyFont="1" applyFill="1" applyBorder="1" applyAlignment="1" applyProtection="1">
      <alignment horizontal="center" vertical="center"/>
      <protection locked="0"/>
    </xf>
    <xf numFmtId="0" fontId="24" fillId="4" borderId="4" xfId="0" applyFont="1" applyFill="1" applyBorder="1" applyAlignment="1">
      <alignment vertical="center"/>
    </xf>
    <xf numFmtId="0" fontId="1" fillId="4" borderId="14" xfId="0" applyFont="1" applyFill="1" applyBorder="1" applyAlignment="1">
      <alignment horizontal="right" vertical="center"/>
    </xf>
    <xf numFmtId="0" fontId="1" fillId="0" borderId="1" xfId="0" applyFont="1" applyBorder="1" applyAlignment="1">
      <alignment horizontal="center" vertical="center"/>
    </xf>
    <xf numFmtId="0" fontId="1" fillId="0" borderId="18" xfId="0" applyFont="1" applyBorder="1" applyAlignment="1">
      <alignment horizontal="center" vertical="center"/>
    </xf>
    <xf numFmtId="0" fontId="1" fillId="0" borderId="13" xfId="0" applyFont="1" applyBorder="1" applyAlignment="1">
      <alignment horizontal="center" vertical="center"/>
    </xf>
    <xf numFmtId="0" fontId="1" fillId="0" borderId="25" xfId="0" applyFont="1" applyBorder="1" applyAlignment="1">
      <alignment horizontal="center" vertical="center"/>
    </xf>
    <xf numFmtId="0" fontId="24" fillId="0" borderId="0" xfId="0" applyFont="1" applyAlignment="1">
      <alignment horizontal="center" vertical="center"/>
    </xf>
    <xf numFmtId="2" fontId="1" fillId="4" borderId="27" xfId="0" applyNumberFormat="1" applyFont="1" applyFill="1" applyBorder="1" applyAlignment="1">
      <alignment horizontal="center" vertical="center"/>
    </xf>
    <xf numFmtId="0" fontId="24" fillId="4" borderId="4" xfId="0" applyFont="1" applyFill="1" applyBorder="1" applyAlignment="1">
      <alignment horizontal="center" vertical="center"/>
    </xf>
    <xf numFmtId="0" fontId="1" fillId="4" borderId="14" xfId="0" applyFont="1" applyFill="1" applyBorder="1" applyAlignment="1">
      <alignment vertical="center"/>
    </xf>
    <xf numFmtId="0" fontId="1" fillId="0" borderId="0" xfId="0" applyFont="1" applyAlignment="1">
      <alignment horizontal="center"/>
    </xf>
    <xf numFmtId="0" fontId="1" fillId="16" borderId="0" xfId="0" applyFont="1" applyFill="1" applyAlignment="1">
      <alignment horizontal="center" vertical="center"/>
    </xf>
    <xf numFmtId="164" fontId="1" fillId="4" borderId="27" xfId="0" applyNumberFormat="1" applyFont="1" applyFill="1" applyBorder="1" applyAlignment="1">
      <alignment horizontal="center" vertical="center"/>
    </xf>
    <xf numFmtId="1" fontId="1" fillId="3" borderId="3" xfId="0" applyNumberFormat="1" applyFont="1" applyFill="1" applyBorder="1" applyAlignment="1" applyProtection="1">
      <alignment horizontal="center" vertical="center"/>
      <protection locked="0"/>
    </xf>
    <xf numFmtId="0" fontId="1" fillId="4" borderId="3" xfId="0" applyFont="1" applyFill="1" applyBorder="1" applyAlignment="1">
      <alignment horizontal="center" vertical="center"/>
    </xf>
    <xf numFmtId="0" fontId="1" fillId="4" borderId="14" xfId="0" applyFont="1" applyFill="1" applyBorder="1" applyAlignment="1">
      <alignment horizontal="center" vertical="center"/>
    </xf>
    <xf numFmtId="0" fontId="1" fillId="4" borderId="20" xfId="0" applyFont="1" applyFill="1" applyBorder="1" applyAlignment="1">
      <alignment horizontal="right" vertical="center"/>
    </xf>
    <xf numFmtId="0" fontId="1" fillId="4" borderId="3" xfId="0" applyFont="1" applyFill="1" applyBorder="1" applyAlignment="1">
      <alignment horizontal="right" vertical="center"/>
    </xf>
    <xf numFmtId="0" fontId="1" fillId="4" borderId="56" xfId="0" applyFont="1" applyFill="1" applyBorder="1" applyAlignment="1">
      <alignment horizontal="right" vertical="center" wrapText="1"/>
    </xf>
    <xf numFmtId="0" fontId="1" fillId="4" borderId="37" xfId="0" applyFont="1" applyFill="1" applyBorder="1" applyAlignment="1">
      <alignment horizontal="right" vertical="center" wrapText="1"/>
    </xf>
    <xf numFmtId="0" fontId="1" fillId="4" borderId="57" xfId="0" applyFont="1" applyFill="1" applyBorder="1" applyAlignment="1">
      <alignment horizontal="right" vertical="center" wrapText="1"/>
    </xf>
    <xf numFmtId="0" fontId="1" fillId="4" borderId="41" xfId="0" applyFont="1" applyFill="1" applyBorder="1" applyAlignment="1">
      <alignment horizontal="right" vertical="center" wrapText="1"/>
    </xf>
    <xf numFmtId="0" fontId="1" fillId="4" borderId="2" xfId="0" applyFont="1" applyFill="1" applyBorder="1" applyAlignment="1">
      <alignment horizontal="center" vertical="center"/>
    </xf>
    <xf numFmtId="0" fontId="1" fillId="3" borderId="3" xfId="0" applyFont="1" applyFill="1" applyBorder="1" applyAlignment="1" applyProtection="1">
      <alignment horizontal="center" vertical="center"/>
      <protection locked="0"/>
    </xf>
    <xf numFmtId="0" fontId="1" fillId="3" borderId="14" xfId="0" applyFont="1" applyFill="1" applyBorder="1" applyAlignment="1" applyProtection="1">
      <alignment horizontal="center" vertical="center"/>
      <protection locked="0"/>
    </xf>
    <xf numFmtId="0" fontId="1" fillId="4" borderId="20" xfId="0" applyFont="1" applyFill="1" applyBorder="1" applyAlignment="1">
      <alignment horizontal="center" vertical="center"/>
    </xf>
    <xf numFmtId="0" fontId="1" fillId="4" borderId="3" xfId="0" applyFont="1" applyFill="1" applyBorder="1" applyAlignment="1">
      <alignment horizontal="left" vertical="center"/>
    </xf>
    <xf numFmtId="0" fontId="12" fillId="0" borderId="0" xfId="0" applyFont="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7" xfId="0" applyFont="1" applyFill="1" applyBorder="1" applyAlignment="1">
      <alignment horizontal="center" vertical="center"/>
    </xf>
    <xf numFmtId="0" fontId="2" fillId="3" borderId="3" xfId="0" applyFont="1" applyFill="1" applyBorder="1" applyAlignment="1" applyProtection="1">
      <alignment horizontal="center" vertical="center"/>
      <protection locked="0"/>
    </xf>
    <xf numFmtId="0" fontId="3" fillId="5" borderId="5"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6" xfId="0" applyFont="1" applyFill="1" applyBorder="1" applyAlignment="1">
      <alignment horizontal="center" vertical="center"/>
    </xf>
    <xf numFmtId="0" fontId="1" fillId="0" borderId="28"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5" xfId="0" applyFont="1" applyBorder="1" applyAlignment="1">
      <alignment horizontal="center" vertical="center"/>
    </xf>
    <xf numFmtId="165" fontId="1" fillId="5" borderId="7" xfId="0" applyNumberFormat="1" applyFont="1" applyFill="1" applyBorder="1" applyAlignment="1">
      <alignment horizontal="center" vertical="center"/>
    </xf>
    <xf numFmtId="165" fontId="1" fillId="5" borderId="6" xfId="0" applyNumberFormat="1" applyFont="1" applyFill="1" applyBorder="1" applyAlignment="1">
      <alignment horizontal="center" vertical="center"/>
    </xf>
    <xf numFmtId="164" fontId="10" fillId="6" borderId="15" xfId="0" applyNumberFormat="1" applyFont="1" applyFill="1" applyBorder="1" applyAlignment="1">
      <alignment horizontal="center" vertical="center"/>
    </xf>
    <xf numFmtId="164" fontId="10" fillId="6" borderId="16" xfId="0" applyNumberFormat="1" applyFont="1" applyFill="1" applyBorder="1" applyAlignment="1">
      <alignment horizontal="center" vertical="center"/>
    </xf>
    <xf numFmtId="0" fontId="1" fillId="7" borderId="0" xfId="0" applyFont="1" applyFill="1" applyAlignment="1">
      <alignment horizontal="center" vertical="center"/>
    </xf>
    <xf numFmtId="0" fontId="1" fillId="4" borderId="10" xfId="0" applyFont="1" applyFill="1" applyBorder="1" applyAlignment="1">
      <alignment horizontal="right" vertical="center"/>
    </xf>
    <xf numFmtId="0" fontId="1" fillId="4" borderId="1" xfId="0" applyFont="1" applyFill="1" applyBorder="1" applyAlignment="1">
      <alignment horizontal="right" vertical="center"/>
    </xf>
    <xf numFmtId="0" fontId="1" fillId="4" borderId="1" xfId="0" applyFont="1" applyFill="1" applyBorder="1" applyAlignment="1">
      <alignment horizontal="center" vertical="center"/>
    </xf>
    <xf numFmtId="0" fontId="8" fillId="5" borderId="11" xfId="0" applyFont="1" applyFill="1" applyBorder="1" applyAlignment="1">
      <alignment horizontal="center" vertical="center"/>
    </xf>
    <xf numFmtId="0" fontId="8" fillId="5" borderId="13" xfId="0" applyFont="1" applyFill="1" applyBorder="1" applyAlignment="1">
      <alignment horizontal="center" vertical="center"/>
    </xf>
    <xf numFmtId="0" fontId="9" fillId="6" borderId="12" xfId="0" applyFont="1" applyFill="1" applyBorder="1" applyAlignment="1">
      <alignment horizontal="center" vertical="center"/>
    </xf>
    <xf numFmtId="0" fontId="9" fillId="6" borderId="15" xfId="0" applyFont="1" applyFill="1" applyBorder="1" applyAlignment="1">
      <alignment horizontal="center" vertical="center"/>
    </xf>
    <xf numFmtId="0" fontId="1" fillId="3" borderId="2"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0" fontId="1" fillId="3" borderId="10" xfId="0" applyFont="1" applyFill="1" applyBorder="1" applyAlignment="1" applyProtection="1">
      <alignment horizontal="center" vertical="center"/>
      <protection locked="0"/>
    </xf>
    <xf numFmtId="0" fontId="1" fillId="3" borderId="1" xfId="0" applyFont="1" applyFill="1" applyBorder="1" applyAlignment="1" applyProtection="1">
      <alignment horizontal="center" vertical="center"/>
      <protection locked="0"/>
    </xf>
    <xf numFmtId="0" fontId="1" fillId="4" borderId="2" xfId="0" applyFont="1" applyFill="1" applyBorder="1" applyAlignment="1">
      <alignment horizontal="right" vertical="center"/>
    </xf>
    <xf numFmtId="0" fontId="1" fillId="4" borderId="4" xfId="0" applyFont="1" applyFill="1" applyBorder="1" applyAlignment="1">
      <alignment horizontal="left" vertical="center"/>
    </xf>
    <xf numFmtId="0" fontId="1" fillId="4" borderId="1" xfId="0" applyFont="1" applyFill="1" applyBorder="1" applyAlignment="1">
      <alignment horizontal="left" vertical="center"/>
    </xf>
    <xf numFmtId="0" fontId="1" fillId="4" borderId="3" xfId="0" applyFont="1" applyFill="1" applyBorder="1" applyAlignment="1" applyProtection="1">
      <alignment horizontal="center" vertical="center"/>
      <protection locked="0"/>
    </xf>
    <xf numFmtId="0" fontId="7" fillId="7" borderId="0" xfId="0" applyFont="1" applyFill="1" applyAlignment="1">
      <alignment horizontal="right" vertical="center"/>
    </xf>
    <xf numFmtId="0" fontId="6" fillId="7" borderId="0" xfId="0" applyFont="1" applyFill="1" applyAlignment="1">
      <alignment horizontal="left" vertical="center"/>
    </xf>
    <xf numFmtId="164" fontId="8" fillId="6" borderId="15" xfId="0" applyNumberFormat="1" applyFont="1" applyFill="1" applyBorder="1" applyAlignment="1">
      <alignment horizontal="center" vertical="center"/>
    </xf>
    <xf numFmtId="164" fontId="8" fillId="6" borderId="19" xfId="0" applyNumberFormat="1" applyFont="1" applyFill="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0" xfId="0" applyFont="1" applyAlignment="1">
      <alignment horizontal="center" vertical="center"/>
    </xf>
    <xf numFmtId="0" fontId="3" fillId="0" borderId="32" xfId="0" applyFont="1" applyBorder="1" applyAlignment="1">
      <alignment horizontal="center" vertical="center"/>
    </xf>
    <xf numFmtId="0" fontId="18" fillId="0" borderId="36"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0" xfId="0" applyFont="1" applyAlignment="1">
      <alignment horizontal="center" vertical="center" wrapText="1"/>
    </xf>
    <xf numFmtId="0" fontId="18" fillId="0" borderId="38"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24" xfId="0" applyFont="1" applyBorder="1" applyAlignment="1" applyProtection="1">
      <alignment horizontal="right" vertical="center" wrapText="1"/>
      <protection locked="0"/>
    </xf>
    <xf numFmtId="0" fontId="1" fillId="0" borderId="0" xfId="0" applyFont="1" applyAlignment="1" applyProtection="1">
      <alignment horizontal="right" vertical="center" wrapText="1"/>
      <protection locked="0"/>
    </xf>
    <xf numFmtId="0" fontId="1" fillId="0" borderId="38" xfId="0" applyFont="1" applyBorder="1" applyAlignment="1" applyProtection="1">
      <alignment horizontal="right" vertical="center" wrapText="1"/>
      <protection locked="0"/>
    </xf>
    <xf numFmtId="0" fontId="1" fillId="0" borderId="24" xfId="0" applyFont="1" applyBorder="1" applyAlignment="1">
      <alignment horizontal="right" vertical="center" wrapText="1"/>
    </xf>
    <xf numFmtId="0" fontId="1" fillId="0" borderId="0" xfId="0" applyFont="1" applyAlignment="1">
      <alignment horizontal="right" vertical="center" wrapText="1"/>
    </xf>
    <xf numFmtId="0" fontId="1" fillId="0" borderId="38" xfId="0" applyFont="1" applyBorder="1" applyAlignment="1">
      <alignment horizontal="right" vertical="center" wrapText="1"/>
    </xf>
    <xf numFmtId="0" fontId="14" fillId="0" borderId="24" xfId="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0" borderId="38" xfId="0" applyFont="1" applyBorder="1" applyAlignment="1" applyProtection="1">
      <alignment horizontal="left" vertical="center"/>
      <protection locked="0"/>
    </xf>
    <xf numFmtId="165" fontId="1" fillId="3" borderId="1" xfId="0" applyNumberFormat="1" applyFont="1" applyFill="1" applyBorder="1" applyAlignment="1" applyProtection="1">
      <alignment horizontal="center" vertical="center"/>
      <protection locked="0"/>
    </xf>
    <xf numFmtId="166" fontId="12" fillId="0" borderId="40" xfId="0" applyNumberFormat="1" applyFont="1" applyBorder="1" applyAlignment="1">
      <alignment horizontal="center" vertical="center"/>
    </xf>
    <xf numFmtId="0" fontId="1" fillId="0" borderId="24" xfId="0" applyFont="1" applyBorder="1" applyAlignment="1" applyProtection="1">
      <alignment horizontal="right" vertical="center"/>
      <protection locked="0"/>
    </xf>
    <xf numFmtId="0" fontId="1" fillId="0" borderId="0" xfId="0" applyFont="1" applyAlignment="1" applyProtection="1">
      <alignment horizontal="right" vertical="center"/>
      <protection locked="0"/>
    </xf>
    <xf numFmtId="0" fontId="1" fillId="0" borderId="38" xfId="0" applyFont="1" applyBorder="1" applyAlignment="1" applyProtection="1">
      <alignment horizontal="right" vertical="center"/>
      <protection locked="0"/>
    </xf>
    <xf numFmtId="0" fontId="14" fillId="0" borderId="39" xfId="1" applyFill="1" applyBorder="1" applyAlignment="1" applyProtection="1">
      <alignment horizontal="left" vertical="center"/>
      <protection locked="0"/>
    </xf>
    <xf numFmtId="0" fontId="22" fillId="0" borderId="40" xfId="1" applyFont="1" applyFill="1" applyBorder="1" applyAlignment="1" applyProtection="1">
      <alignment horizontal="left" vertical="center"/>
      <protection locked="0"/>
    </xf>
    <xf numFmtId="0" fontId="22" fillId="0" borderId="41" xfId="1" applyFont="1" applyFill="1" applyBorder="1" applyAlignment="1" applyProtection="1">
      <alignment horizontal="left" vertical="center"/>
      <protection locked="0"/>
    </xf>
    <xf numFmtId="0" fontId="12" fillId="0" borderId="40" xfId="0" applyFont="1" applyBorder="1" applyAlignment="1">
      <alignment horizontal="center" vertical="center"/>
    </xf>
    <xf numFmtId="0" fontId="9" fillId="0" borderId="39"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41" xfId="0" applyFont="1" applyBorder="1" applyAlignment="1">
      <alignment horizontal="center" vertical="center" wrapText="1"/>
    </xf>
    <xf numFmtId="0" fontId="1" fillId="5" borderId="10"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2" xfId="0" applyFont="1" applyFill="1" applyBorder="1" applyAlignment="1">
      <alignment horizontal="left" vertical="center"/>
    </xf>
    <xf numFmtId="0" fontId="1" fillId="5" borderId="18" xfId="0" applyFont="1" applyFill="1" applyBorder="1" applyAlignment="1">
      <alignment horizontal="center" vertical="center"/>
    </xf>
    <xf numFmtId="0" fontId="1" fillId="4" borderId="10" xfId="0" applyFont="1" applyFill="1" applyBorder="1" applyAlignment="1">
      <alignment horizontal="left" vertical="center"/>
    </xf>
    <xf numFmtId="0" fontId="1" fillId="6" borderId="1" xfId="0" applyFont="1" applyFill="1" applyBorder="1" applyAlignment="1">
      <alignment horizontal="center" vertical="center"/>
    </xf>
    <xf numFmtId="0" fontId="1" fillId="6" borderId="18" xfId="0" applyFont="1" applyFill="1" applyBorder="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1" xfId="0" applyFont="1" applyBorder="1" applyAlignment="1">
      <alignment horizontal="center" vertical="center"/>
    </xf>
    <xf numFmtId="0" fontId="1" fillId="3" borderId="20" xfId="0" applyFont="1" applyFill="1" applyBorder="1" applyAlignment="1" applyProtection="1">
      <alignment horizontal="center" vertical="center"/>
      <protection locked="0"/>
    </xf>
    <xf numFmtId="0" fontId="1" fillId="4" borderId="4" xfId="0" applyFont="1" applyFill="1" applyBorder="1" applyAlignment="1">
      <alignment horizontal="right" vertical="center"/>
    </xf>
    <xf numFmtId="0" fontId="1" fillId="6" borderId="3" xfId="0" applyFont="1" applyFill="1" applyBorder="1" applyAlignment="1">
      <alignment horizontal="center" vertical="center"/>
    </xf>
    <xf numFmtId="0" fontId="1" fillId="6" borderId="14" xfId="0" applyFont="1" applyFill="1" applyBorder="1" applyAlignment="1">
      <alignment horizontal="center" vertical="center"/>
    </xf>
    <xf numFmtId="0" fontId="9" fillId="4" borderId="3" xfId="0" applyFont="1" applyFill="1" applyBorder="1" applyAlignment="1">
      <alignment horizontal="left" vertical="center"/>
    </xf>
    <xf numFmtId="0" fontId="1" fillId="3" borderId="3" xfId="0" applyFont="1" applyFill="1" applyBorder="1" applyAlignment="1">
      <alignment horizontal="center" vertical="center"/>
    </xf>
    <xf numFmtId="0" fontId="9" fillId="6" borderId="3" xfId="0" applyFont="1" applyFill="1" applyBorder="1" applyAlignment="1">
      <alignment horizontal="center" vertical="center"/>
    </xf>
    <xf numFmtId="0" fontId="9" fillId="6" borderId="14" xfId="0" applyFont="1" applyFill="1" applyBorder="1" applyAlignment="1">
      <alignment horizontal="center" vertical="center"/>
    </xf>
    <xf numFmtId="0" fontId="9" fillId="5" borderId="1" xfId="0" applyFont="1" applyFill="1" applyBorder="1" applyAlignment="1">
      <alignment horizontal="center" vertical="center"/>
    </xf>
    <xf numFmtId="0" fontId="9" fillId="5" borderId="18"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14" xfId="0" applyFont="1" applyFill="1" applyBorder="1" applyAlignment="1">
      <alignment horizontal="center" vertical="center"/>
    </xf>
    <xf numFmtId="0" fontId="1" fillId="4" borderId="20" xfId="2" applyFont="1" applyFill="1" applyBorder="1" applyAlignment="1">
      <alignment horizontal="right" vertical="center"/>
    </xf>
    <xf numFmtId="0" fontId="1" fillId="4" borderId="3" xfId="2" applyFont="1" applyFill="1" applyBorder="1" applyAlignment="1">
      <alignment horizontal="right" vertical="center"/>
    </xf>
    <xf numFmtId="0" fontId="1" fillId="4" borderId="10" xfId="2" applyFont="1" applyFill="1" applyBorder="1" applyAlignment="1">
      <alignment horizontal="right" vertical="center"/>
    </xf>
    <xf numFmtId="0" fontId="1" fillId="4" borderId="1" xfId="2" applyFont="1" applyFill="1" applyBorder="1" applyAlignment="1">
      <alignment horizontal="right" vertical="center"/>
    </xf>
    <xf numFmtId="2" fontId="1" fillId="6" borderId="2" xfId="0" applyNumberFormat="1" applyFont="1" applyFill="1" applyBorder="1" applyAlignment="1">
      <alignment horizontal="center" vertical="center"/>
    </xf>
    <xf numFmtId="2" fontId="1" fillId="6" borderId="3" xfId="0" applyNumberFormat="1" applyFont="1" applyFill="1" applyBorder="1" applyAlignment="1">
      <alignment horizontal="center" vertical="center"/>
    </xf>
    <xf numFmtId="2" fontId="1" fillId="6" borderId="14" xfId="0" applyNumberFormat="1" applyFont="1" applyFill="1" applyBorder="1" applyAlignment="1">
      <alignment horizontal="center" vertical="center"/>
    </xf>
    <xf numFmtId="0" fontId="9" fillId="4" borderId="2" xfId="0" applyFont="1" applyFill="1" applyBorder="1" applyAlignment="1">
      <alignment horizontal="center" vertical="center"/>
    </xf>
    <xf numFmtId="0" fontId="1" fillId="13" borderId="45" xfId="2" applyFont="1" applyFill="1" applyBorder="1" applyAlignment="1">
      <alignment horizontal="center" vertical="center"/>
    </xf>
    <xf numFmtId="0" fontId="1" fillId="13" borderId="29" xfId="2" applyFont="1" applyFill="1" applyBorder="1" applyAlignment="1">
      <alignment horizontal="center" vertical="center"/>
    </xf>
    <xf numFmtId="0" fontId="1" fillId="13" borderId="47" xfId="2" applyFont="1" applyFill="1" applyBorder="1" applyAlignment="1">
      <alignment horizontal="center" vertical="center"/>
    </xf>
    <xf numFmtId="0" fontId="16" fillId="13" borderId="46" xfId="2" applyFont="1" applyFill="1" applyBorder="1" applyAlignment="1">
      <alignment horizontal="center" vertical="center"/>
    </xf>
    <xf numFmtId="0" fontId="16" fillId="13" borderId="43" xfId="2" applyFont="1" applyFill="1" applyBorder="1" applyAlignment="1">
      <alignment horizontal="center" vertical="center"/>
    </xf>
    <xf numFmtId="0" fontId="17" fillId="13" borderId="46" xfId="2" applyFont="1" applyFill="1" applyBorder="1" applyAlignment="1">
      <alignment horizontal="center" vertical="center"/>
    </xf>
    <xf numFmtId="0" fontId="17" fillId="13" borderId="43" xfId="2" applyFont="1" applyFill="1" applyBorder="1" applyAlignment="1">
      <alignment horizontal="center" vertical="center"/>
    </xf>
    <xf numFmtId="0" fontId="1" fillId="13" borderId="42" xfId="2" applyFont="1" applyFill="1" applyBorder="1" applyAlignment="1">
      <alignment horizontal="center" vertical="center"/>
    </xf>
    <xf numFmtId="0" fontId="1" fillId="13" borderId="34" xfId="2" applyFont="1" applyFill="1" applyBorder="1" applyAlignment="1">
      <alignment horizontal="center" vertical="center"/>
    </xf>
    <xf numFmtId="0" fontId="1" fillId="13" borderId="44" xfId="2" applyFont="1" applyFill="1" applyBorder="1" applyAlignment="1">
      <alignment horizontal="center" vertical="center"/>
    </xf>
    <xf numFmtId="0" fontId="3" fillId="6" borderId="28" xfId="2" applyFont="1" applyFill="1" applyBorder="1" applyAlignment="1">
      <alignment horizontal="center" vertical="center"/>
    </xf>
    <xf numFmtId="0" fontId="3" fillId="6" borderId="47" xfId="2" applyFont="1" applyFill="1" applyBorder="1" applyAlignment="1">
      <alignment horizontal="center" vertical="center"/>
    </xf>
    <xf numFmtId="164" fontId="3" fillId="6" borderId="33" xfId="2" applyNumberFormat="1" applyFont="1" applyFill="1" applyBorder="1" applyAlignment="1">
      <alignment horizontal="center" vertical="center"/>
    </xf>
    <xf numFmtId="164" fontId="3" fillId="6" borderId="44" xfId="2" applyNumberFormat="1" applyFont="1" applyFill="1" applyBorder="1" applyAlignment="1">
      <alignment horizontal="center" vertical="center"/>
    </xf>
    <xf numFmtId="0" fontId="13" fillId="13" borderId="46" xfId="2" applyFont="1" applyFill="1" applyBorder="1" applyAlignment="1">
      <alignment horizontal="center" vertical="center"/>
    </xf>
    <xf numFmtId="0" fontId="13" fillId="13" borderId="43" xfId="2" applyFont="1" applyFill="1" applyBorder="1" applyAlignment="1">
      <alignment horizontal="center" vertical="center"/>
    </xf>
    <xf numFmtId="0" fontId="1" fillId="15" borderId="54" xfId="2" applyFont="1" applyFill="1" applyBorder="1" applyAlignment="1">
      <alignment horizontal="center" vertical="center" wrapText="1"/>
    </xf>
    <xf numFmtId="0" fontId="1" fillId="13" borderId="35" xfId="2" applyFont="1" applyFill="1" applyBorder="1" applyAlignment="1">
      <alignment horizontal="center" vertical="center"/>
    </xf>
    <xf numFmtId="0" fontId="1" fillId="15" borderId="1" xfId="2" applyFont="1" applyFill="1" applyBorder="1" applyAlignment="1">
      <alignment horizontal="center" vertical="center" wrapText="1"/>
    </xf>
    <xf numFmtId="0" fontId="1" fillId="15" borderId="1" xfId="2" applyFont="1" applyFill="1" applyBorder="1" applyAlignment="1">
      <alignment horizontal="center" vertical="center"/>
    </xf>
    <xf numFmtId="0" fontId="1" fillId="15" borderId="18" xfId="2" applyFont="1" applyFill="1" applyBorder="1" applyAlignment="1">
      <alignment horizontal="center" vertical="center"/>
    </xf>
    <xf numFmtId="0" fontId="2" fillId="12" borderId="8" xfId="2" applyFont="1" applyFill="1" applyBorder="1" applyAlignment="1">
      <alignment horizontal="center" vertical="center" wrapText="1"/>
    </xf>
    <xf numFmtId="0" fontId="2" fillId="12" borderId="10" xfId="2" applyFont="1" applyFill="1" applyBorder="1" applyAlignment="1">
      <alignment horizontal="center" vertical="center" wrapText="1"/>
    </xf>
    <xf numFmtId="0" fontId="17" fillId="13" borderId="22" xfId="2" applyFont="1" applyFill="1" applyBorder="1" applyAlignment="1">
      <alignment horizontal="center" vertical="center"/>
    </xf>
    <xf numFmtId="0" fontId="1" fillId="12" borderId="42" xfId="2" applyFont="1" applyFill="1" applyBorder="1" applyAlignment="1" applyProtection="1">
      <alignment horizontal="center" vertical="center"/>
      <protection locked="0"/>
    </xf>
    <xf numFmtId="0" fontId="1" fillId="12" borderId="44" xfId="2" applyFont="1" applyFill="1" applyBorder="1" applyAlignment="1" applyProtection="1">
      <alignment horizontal="center" vertical="center"/>
      <protection locked="0"/>
    </xf>
    <xf numFmtId="0" fontId="1" fillId="13" borderId="30" xfId="2" applyFont="1" applyFill="1" applyBorder="1" applyAlignment="1">
      <alignment horizontal="center" vertical="center"/>
    </xf>
    <xf numFmtId="0" fontId="1" fillId="0" borderId="0" xfId="2" applyFont="1" applyAlignment="1">
      <alignment horizontal="center" vertical="center"/>
    </xf>
    <xf numFmtId="166" fontId="16" fillId="12" borderId="7" xfId="2" applyNumberFormat="1" applyFont="1" applyFill="1" applyBorder="1" applyAlignment="1" applyProtection="1">
      <alignment horizontal="center" vertical="center"/>
      <protection locked="0"/>
    </xf>
    <xf numFmtId="166" fontId="16" fillId="12" borderId="6" xfId="2" applyNumberFormat="1" applyFont="1" applyFill="1" applyBorder="1" applyAlignment="1" applyProtection="1">
      <alignment horizontal="center" vertical="center"/>
      <protection locked="0"/>
    </xf>
    <xf numFmtId="0" fontId="16" fillId="12" borderId="7" xfId="2" applyFont="1" applyFill="1" applyBorder="1" applyAlignment="1" applyProtection="1">
      <alignment horizontal="center" vertical="center"/>
      <protection locked="0"/>
    </xf>
    <xf numFmtId="0" fontId="3" fillId="15" borderId="5" xfId="2" applyFont="1" applyFill="1" applyBorder="1" applyAlignment="1">
      <alignment horizontal="center" vertical="center"/>
    </xf>
    <xf numFmtId="0" fontId="3" fillId="15" borderId="7" xfId="2" applyFont="1" applyFill="1" applyBorder="1" applyAlignment="1">
      <alignment horizontal="center" vertical="center"/>
    </xf>
    <xf numFmtId="0" fontId="3" fillId="15" borderId="6" xfId="2" applyFont="1" applyFill="1" applyBorder="1" applyAlignment="1">
      <alignment horizontal="center" vertical="center"/>
    </xf>
    <xf numFmtId="0" fontId="12" fillId="11" borderId="0" xfId="2" applyFont="1" applyFill="1" applyAlignment="1">
      <alignment horizontal="right"/>
    </xf>
    <xf numFmtId="0" fontId="1" fillId="15" borderId="8" xfId="2" applyFont="1" applyFill="1" applyBorder="1" applyAlignment="1">
      <alignment horizontal="center" vertical="center"/>
    </xf>
    <xf numFmtId="0" fontId="1" fillId="15" borderId="9" xfId="2" applyFont="1" applyFill="1" applyBorder="1" applyAlignment="1">
      <alignment horizontal="center" vertical="center"/>
    </xf>
    <xf numFmtId="0" fontId="1" fillId="15" borderId="17" xfId="2" applyFont="1" applyFill="1" applyBorder="1" applyAlignment="1">
      <alignment horizontal="center" vertical="center"/>
    </xf>
    <xf numFmtId="0" fontId="1" fillId="15" borderId="4" xfId="2" applyFont="1" applyFill="1" applyBorder="1" applyAlignment="1">
      <alignment horizontal="center" vertical="center"/>
    </xf>
    <xf numFmtId="0" fontId="1" fillId="15" borderId="21" xfId="2" applyFont="1" applyFill="1" applyBorder="1" applyAlignment="1">
      <alignment horizontal="center" vertical="center" wrapText="1"/>
    </xf>
    <xf numFmtId="0" fontId="1" fillId="15" borderId="23" xfId="2" applyFont="1" applyFill="1" applyBorder="1" applyAlignment="1">
      <alignment horizontal="center" vertical="center" wrapText="1"/>
    </xf>
    <xf numFmtId="0" fontId="1" fillId="12" borderId="35" xfId="2" applyFont="1" applyFill="1" applyBorder="1" applyAlignment="1" applyProtection="1">
      <alignment horizontal="center" vertical="center"/>
      <protection locked="0"/>
    </xf>
    <xf numFmtId="0" fontId="1" fillId="13" borderId="52" xfId="2" applyFont="1" applyFill="1" applyBorder="1" applyAlignment="1">
      <alignment horizontal="center" vertical="center"/>
    </xf>
    <xf numFmtId="0" fontId="1" fillId="13" borderId="51" xfId="2" applyFont="1" applyFill="1" applyBorder="1" applyAlignment="1">
      <alignment horizontal="center" vertical="center"/>
    </xf>
    <xf numFmtId="0" fontId="1" fillId="13" borderId="50" xfId="2" applyFont="1" applyFill="1" applyBorder="1" applyAlignment="1">
      <alignment horizontal="center" vertical="center"/>
    </xf>
    <xf numFmtId="0" fontId="1" fillId="9" borderId="10" xfId="0" applyFont="1" applyFill="1" applyBorder="1" applyAlignment="1">
      <alignment horizontal="right" vertical="center"/>
    </xf>
    <xf numFmtId="0" fontId="1" fillId="9" borderId="1" xfId="0" applyFont="1" applyFill="1" applyBorder="1" applyAlignment="1">
      <alignment horizontal="right" vertical="center"/>
    </xf>
    <xf numFmtId="0" fontId="1" fillId="9" borderId="11" xfId="0" applyFont="1" applyFill="1" applyBorder="1" applyAlignment="1">
      <alignment horizontal="right" vertical="center"/>
    </xf>
    <xf numFmtId="0" fontId="1" fillId="9" borderId="13" xfId="0" applyFont="1" applyFill="1" applyBorder="1" applyAlignment="1">
      <alignment horizontal="right" vertical="center"/>
    </xf>
    <xf numFmtId="0" fontId="1" fillId="0" borderId="10" xfId="0" applyFont="1" applyBorder="1" applyAlignment="1">
      <alignment horizontal="right" vertical="center"/>
    </xf>
    <xf numFmtId="0" fontId="1" fillId="0" borderId="1" xfId="0" applyFont="1" applyBorder="1" applyAlignment="1">
      <alignment horizontal="right" vertical="center"/>
    </xf>
    <xf numFmtId="0" fontId="1" fillId="8" borderId="10" xfId="0" applyFont="1" applyFill="1" applyBorder="1" applyAlignment="1">
      <alignment horizontal="right" vertical="center"/>
    </xf>
    <xf numFmtId="0" fontId="1" fillId="8" borderId="1" xfId="0" applyFont="1" applyFill="1" applyBorder="1" applyAlignment="1">
      <alignment horizontal="right" vertical="center"/>
    </xf>
    <xf numFmtId="0" fontId="1" fillId="9" borderId="8" xfId="0" applyFont="1" applyFill="1" applyBorder="1" applyAlignment="1">
      <alignment horizontal="center" vertical="center"/>
    </xf>
    <xf numFmtId="0" fontId="1" fillId="9" borderId="9" xfId="0" applyFont="1" applyFill="1" applyBorder="1" applyAlignment="1">
      <alignment horizontal="center" vertical="center"/>
    </xf>
    <xf numFmtId="0" fontId="1" fillId="9" borderId="17" xfId="0" applyFont="1" applyFill="1" applyBorder="1" applyAlignment="1">
      <alignment horizontal="center" vertical="center"/>
    </xf>
    <xf numFmtId="0" fontId="1" fillId="10" borderId="8" xfId="0" applyFont="1" applyFill="1" applyBorder="1" applyAlignment="1">
      <alignment horizontal="center"/>
    </xf>
    <xf numFmtId="0" fontId="1" fillId="10" borderId="9" xfId="0" applyFont="1" applyFill="1" applyBorder="1" applyAlignment="1">
      <alignment horizontal="center"/>
    </xf>
    <xf numFmtId="0" fontId="1" fillId="10" borderId="17" xfId="0" applyFont="1" applyFill="1" applyBorder="1" applyAlignment="1">
      <alignment horizontal="center"/>
    </xf>
    <xf numFmtId="0" fontId="1" fillId="8" borderId="8" xfId="0" applyFont="1" applyFill="1" applyBorder="1" applyAlignment="1">
      <alignment horizontal="center" vertical="center"/>
    </xf>
    <xf numFmtId="0" fontId="1" fillId="8" borderId="9" xfId="0" applyFont="1" applyFill="1" applyBorder="1" applyAlignment="1">
      <alignment horizontal="center" vertical="center"/>
    </xf>
    <xf numFmtId="0" fontId="1" fillId="8" borderId="17" xfId="0" applyFont="1" applyFill="1" applyBorder="1" applyAlignment="1">
      <alignment horizontal="center" vertical="center"/>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FFCCFF"/>
      <color rgb="FF66FF66"/>
      <color rgb="FF00CC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870739</xdr:colOff>
      <xdr:row>2</xdr:row>
      <xdr:rowOff>34019</xdr:rowOff>
    </xdr:from>
    <xdr:to>
      <xdr:col>7</xdr:col>
      <xdr:colOff>34017</xdr:colOff>
      <xdr:row>12</xdr:row>
      <xdr:rowOff>204108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2109466" y="455840"/>
          <a:ext cx="3068528" cy="24152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118</xdr:colOff>
      <xdr:row>2</xdr:row>
      <xdr:rowOff>40105</xdr:rowOff>
    </xdr:from>
    <xdr:to>
      <xdr:col>10</xdr:col>
      <xdr:colOff>361597</xdr:colOff>
      <xdr:row>4</xdr:row>
      <xdr:rowOff>189069</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47535903" y="461210"/>
          <a:ext cx="742479" cy="5851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118</xdr:colOff>
      <xdr:row>2</xdr:row>
      <xdr:rowOff>40105</xdr:rowOff>
    </xdr:from>
    <xdr:to>
      <xdr:col>10</xdr:col>
      <xdr:colOff>361597</xdr:colOff>
      <xdr:row>4</xdr:row>
      <xdr:rowOff>189069</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22913778" y="459205"/>
          <a:ext cx="742479" cy="5871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118</xdr:colOff>
      <xdr:row>2</xdr:row>
      <xdr:rowOff>40105</xdr:rowOff>
    </xdr:from>
    <xdr:to>
      <xdr:col>10</xdr:col>
      <xdr:colOff>361597</xdr:colOff>
      <xdr:row>4</xdr:row>
      <xdr:rowOff>189069</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22913778" y="459205"/>
          <a:ext cx="742479" cy="5871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118</xdr:colOff>
      <xdr:row>2</xdr:row>
      <xdr:rowOff>40105</xdr:rowOff>
    </xdr:from>
    <xdr:to>
      <xdr:col>10</xdr:col>
      <xdr:colOff>361597</xdr:colOff>
      <xdr:row>4</xdr:row>
      <xdr:rowOff>189069</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22913778" y="459205"/>
          <a:ext cx="742479" cy="58711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118</xdr:colOff>
      <xdr:row>2</xdr:row>
      <xdr:rowOff>40105</xdr:rowOff>
    </xdr:from>
    <xdr:to>
      <xdr:col>10</xdr:col>
      <xdr:colOff>361597</xdr:colOff>
      <xdr:row>4</xdr:row>
      <xdr:rowOff>189069</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22913778" y="459205"/>
          <a:ext cx="742479" cy="58711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118</xdr:colOff>
      <xdr:row>2</xdr:row>
      <xdr:rowOff>40105</xdr:rowOff>
    </xdr:from>
    <xdr:to>
      <xdr:col>10</xdr:col>
      <xdr:colOff>361597</xdr:colOff>
      <xdr:row>4</xdr:row>
      <xdr:rowOff>189069</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22913778" y="459205"/>
          <a:ext cx="742479" cy="5871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zfinder.ebara.com/startmain.aspx" TargetMode="External"/><Relationship Id="rId1" Type="http://schemas.openxmlformats.org/officeDocument/2006/relationships/hyperlink" Target="https://pumpselect.pumpiran.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R47"/>
  <sheetViews>
    <sheetView rightToLeft="1" tabSelected="1" topLeftCell="A10" zoomScale="140" zoomScaleNormal="140" workbookViewId="0">
      <selection activeCell="G43" sqref="G43:J43"/>
    </sheetView>
  </sheetViews>
  <sheetFormatPr defaultColWidth="9" defaultRowHeight="18" x14ac:dyDescent="0.25"/>
  <cols>
    <col min="1" max="1" width="2.7109375" style="2" customWidth="1"/>
    <col min="2" max="2" width="5.7109375" style="2" customWidth="1"/>
    <col min="3" max="3" width="35.7109375" style="2" customWidth="1"/>
    <col min="4" max="11" width="5.7109375" style="2" customWidth="1"/>
    <col min="12" max="12" width="2.7109375" style="2" customWidth="1"/>
    <col min="13" max="18" width="4.7109375" style="2" customWidth="1"/>
    <col min="19" max="16384" width="9" style="2"/>
  </cols>
  <sheetData>
    <row r="1" spans="1:18" x14ac:dyDescent="0.25">
      <c r="A1" s="148"/>
      <c r="B1" s="148"/>
      <c r="C1" s="148"/>
      <c r="D1" s="148"/>
      <c r="E1" s="148"/>
      <c r="F1" s="148"/>
      <c r="G1" s="148"/>
      <c r="H1" s="148"/>
      <c r="I1" s="148"/>
      <c r="J1" s="148"/>
      <c r="K1" s="148"/>
      <c r="L1" s="148"/>
    </row>
    <row r="2" spans="1:18" ht="15" customHeight="1" thickBot="1" x14ac:dyDescent="0.3">
      <c r="A2" s="9"/>
      <c r="B2" s="9"/>
      <c r="C2" s="9"/>
      <c r="D2" s="9"/>
      <c r="E2" s="9"/>
      <c r="F2" s="9"/>
      <c r="G2" s="9"/>
      <c r="H2" s="9"/>
      <c r="I2" s="9"/>
      <c r="J2" s="9"/>
      <c r="K2" s="9"/>
      <c r="L2" s="9"/>
    </row>
    <row r="3" spans="1:18" ht="20.100000000000001" customHeight="1" x14ac:dyDescent="0.25">
      <c r="A3" s="9"/>
      <c r="B3" s="186"/>
      <c r="C3" s="187"/>
      <c r="D3" s="187"/>
      <c r="E3" s="187"/>
      <c r="F3" s="187"/>
      <c r="G3" s="187"/>
      <c r="H3" s="187"/>
      <c r="I3" s="187"/>
      <c r="J3" s="187"/>
      <c r="K3" s="188"/>
      <c r="L3" s="9"/>
    </row>
    <row r="4" spans="1:18" ht="15" customHeight="1" x14ac:dyDescent="0.25">
      <c r="A4" s="9"/>
      <c r="B4" s="189"/>
      <c r="C4" s="190"/>
      <c r="D4" s="190"/>
      <c r="E4" s="190"/>
      <c r="F4" s="190"/>
      <c r="G4" s="190"/>
      <c r="H4" s="190"/>
      <c r="I4" s="190"/>
      <c r="J4" s="190"/>
      <c r="K4" s="191"/>
      <c r="L4" s="9"/>
    </row>
    <row r="5" spans="1:18" ht="18" customHeight="1" x14ac:dyDescent="0.25">
      <c r="A5" s="9"/>
      <c r="B5" s="189"/>
      <c r="C5" s="190"/>
      <c r="D5" s="190"/>
      <c r="E5" s="190"/>
      <c r="F5" s="190"/>
      <c r="G5" s="190"/>
      <c r="H5" s="190"/>
      <c r="I5" s="190"/>
      <c r="J5" s="190"/>
      <c r="K5" s="191"/>
      <c r="L5" s="10"/>
      <c r="M5" s="1"/>
      <c r="N5" s="1"/>
      <c r="O5" s="1"/>
      <c r="P5" s="1"/>
      <c r="Q5" s="1"/>
      <c r="R5" s="1"/>
    </row>
    <row r="6" spans="1:18" ht="15" customHeight="1" x14ac:dyDescent="0.25">
      <c r="A6" s="9"/>
      <c r="B6" s="189"/>
      <c r="C6" s="190"/>
      <c r="D6" s="190"/>
      <c r="E6" s="190"/>
      <c r="F6" s="190"/>
      <c r="G6" s="190"/>
      <c r="H6" s="190"/>
      <c r="I6" s="190"/>
      <c r="J6" s="190"/>
      <c r="K6" s="191"/>
      <c r="L6" s="9"/>
    </row>
    <row r="7" spans="1:18" ht="18" customHeight="1" x14ac:dyDescent="0.25">
      <c r="A7" s="9"/>
      <c r="B7" s="189"/>
      <c r="C7" s="190"/>
      <c r="D7" s="190"/>
      <c r="E7" s="190"/>
      <c r="F7" s="190"/>
      <c r="G7" s="190"/>
      <c r="H7" s="190"/>
      <c r="I7" s="190"/>
      <c r="J7" s="190"/>
      <c r="K7" s="191"/>
      <c r="L7" s="9"/>
    </row>
    <row r="8" spans="1:18" ht="18" customHeight="1" x14ac:dyDescent="0.25">
      <c r="A8" s="9"/>
      <c r="B8" s="189"/>
      <c r="C8" s="190"/>
      <c r="D8" s="190"/>
      <c r="E8" s="190"/>
      <c r="F8" s="190"/>
      <c r="G8" s="190"/>
      <c r="H8" s="190"/>
      <c r="I8" s="190"/>
      <c r="J8" s="190"/>
      <c r="K8" s="191"/>
      <c r="L8" s="9"/>
    </row>
    <row r="9" spans="1:18" ht="18" customHeight="1" x14ac:dyDescent="0.25">
      <c r="A9" s="9"/>
      <c r="B9" s="189"/>
      <c r="C9" s="190"/>
      <c r="D9" s="190"/>
      <c r="E9" s="190"/>
      <c r="F9" s="190"/>
      <c r="G9" s="190"/>
      <c r="H9" s="190"/>
      <c r="I9" s="190"/>
      <c r="J9" s="190"/>
      <c r="K9" s="191"/>
      <c r="L9" s="9"/>
    </row>
    <row r="10" spans="1:18" ht="18" customHeight="1" x14ac:dyDescent="0.25">
      <c r="A10" s="9"/>
      <c r="B10" s="189"/>
      <c r="C10" s="190"/>
      <c r="D10" s="190"/>
      <c r="E10" s="190"/>
      <c r="F10" s="190"/>
      <c r="G10" s="190"/>
      <c r="H10" s="190"/>
      <c r="I10" s="190"/>
      <c r="J10" s="190"/>
      <c r="K10" s="191"/>
      <c r="L10" s="9"/>
    </row>
    <row r="11" spans="1:18" ht="18" customHeight="1" x14ac:dyDescent="0.25">
      <c r="A11" s="9"/>
      <c r="B11" s="189"/>
      <c r="C11" s="190"/>
      <c r="D11" s="190"/>
      <c r="E11" s="190"/>
      <c r="F11" s="190"/>
      <c r="G11" s="190"/>
      <c r="H11" s="190"/>
      <c r="I11" s="190"/>
      <c r="J11" s="190"/>
      <c r="K11" s="191"/>
      <c r="L11" s="9"/>
    </row>
    <row r="12" spans="1:18" ht="18" customHeight="1" x14ac:dyDescent="0.25">
      <c r="A12" s="9"/>
      <c r="B12" s="189"/>
      <c r="C12" s="190"/>
      <c r="D12" s="190"/>
      <c r="E12" s="190"/>
      <c r="F12" s="190"/>
      <c r="G12" s="190"/>
      <c r="H12" s="190"/>
      <c r="I12" s="190"/>
      <c r="J12" s="190"/>
      <c r="K12" s="191"/>
      <c r="L12" s="9"/>
    </row>
    <row r="13" spans="1:18" ht="18" customHeight="1" x14ac:dyDescent="0.25">
      <c r="A13" s="9"/>
      <c r="B13" s="189"/>
      <c r="C13" s="190"/>
      <c r="D13" s="190"/>
      <c r="E13" s="190"/>
      <c r="F13" s="190"/>
      <c r="G13" s="190"/>
      <c r="H13" s="190"/>
      <c r="I13" s="190"/>
      <c r="J13" s="190"/>
      <c r="K13" s="191"/>
      <c r="L13" s="9"/>
    </row>
    <row r="14" spans="1:18" ht="18" customHeight="1" x14ac:dyDescent="0.25">
      <c r="A14" s="9"/>
      <c r="B14" s="61"/>
      <c r="C14" s="192" t="s">
        <v>200</v>
      </c>
      <c r="D14" s="193"/>
      <c r="E14" s="193"/>
      <c r="F14" s="193"/>
      <c r="G14" s="193"/>
      <c r="H14" s="193"/>
      <c r="I14" s="193"/>
      <c r="J14" s="194"/>
      <c r="K14" s="62"/>
      <c r="L14" s="9"/>
    </row>
    <row r="15" spans="1:18" ht="18" customHeight="1" x14ac:dyDescent="0.25">
      <c r="A15" s="9"/>
      <c r="B15" s="61"/>
      <c r="C15" s="195"/>
      <c r="D15" s="196"/>
      <c r="E15" s="196"/>
      <c r="F15" s="196"/>
      <c r="G15" s="196"/>
      <c r="H15" s="196"/>
      <c r="I15" s="196"/>
      <c r="J15" s="197"/>
      <c r="K15" s="62"/>
      <c r="L15" s="9"/>
    </row>
    <row r="16" spans="1:18" ht="18" customHeight="1" x14ac:dyDescent="0.25">
      <c r="A16" s="9"/>
      <c r="B16" s="61"/>
      <c r="C16" s="219" t="s">
        <v>256</v>
      </c>
      <c r="D16" s="220"/>
      <c r="E16" s="220"/>
      <c r="F16" s="220"/>
      <c r="G16" s="220"/>
      <c r="H16" s="220"/>
      <c r="I16" s="220"/>
      <c r="J16" s="221"/>
      <c r="K16" s="62"/>
      <c r="L16" s="9"/>
    </row>
    <row r="17" spans="1:12" ht="20.100000000000001" customHeight="1" x14ac:dyDescent="0.25">
      <c r="A17" s="9"/>
      <c r="B17" s="63"/>
      <c r="C17" s="198"/>
      <c r="D17" s="198"/>
      <c r="E17" s="198"/>
      <c r="F17" s="198"/>
      <c r="G17" s="198"/>
      <c r="H17" s="198"/>
      <c r="I17" s="198"/>
      <c r="J17" s="198"/>
      <c r="K17" s="64"/>
      <c r="L17" s="9"/>
    </row>
    <row r="18" spans="1:12" ht="18" customHeight="1" x14ac:dyDescent="0.25">
      <c r="A18" s="9"/>
      <c r="B18" s="61"/>
      <c r="C18" s="70" t="s">
        <v>188</v>
      </c>
      <c r="D18" s="71"/>
      <c r="E18" s="71"/>
      <c r="F18" s="71"/>
      <c r="G18" s="71"/>
      <c r="H18" s="71"/>
      <c r="I18" s="72"/>
      <c r="J18" s="73"/>
      <c r="K18" s="53"/>
      <c r="L18" s="9"/>
    </row>
    <row r="19" spans="1:12" ht="18" customHeight="1" x14ac:dyDescent="0.25">
      <c r="A19" s="9"/>
      <c r="B19" s="61"/>
      <c r="C19" s="204" t="s">
        <v>257</v>
      </c>
      <c r="D19" s="205"/>
      <c r="E19" s="205"/>
      <c r="F19" s="205"/>
      <c r="G19" s="205"/>
      <c r="H19" s="205"/>
      <c r="I19" s="205"/>
      <c r="J19" s="206"/>
      <c r="K19" s="53"/>
      <c r="L19" s="9"/>
    </row>
    <row r="20" spans="1:12" ht="18" customHeight="1" x14ac:dyDescent="0.25">
      <c r="A20" s="9"/>
      <c r="B20" s="61"/>
      <c r="C20" s="204"/>
      <c r="D20" s="205"/>
      <c r="E20" s="205"/>
      <c r="F20" s="205"/>
      <c r="G20" s="205"/>
      <c r="H20" s="205"/>
      <c r="I20" s="205"/>
      <c r="J20" s="206"/>
      <c r="K20" s="53"/>
      <c r="L20" s="9"/>
    </row>
    <row r="21" spans="1:12" ht="18" customHeight="1" x14ac:dyDescent="0.25">
      <c r="A21" s="9"/>
      <c r="B21" s="61"/>
      <c r="C21" s="204"/>
      <c r="D21" s="205"/>
      <c r="E21" s="205"/>
      <c r="F21" s="205"/>
      <c r="G21" s="205"/>
      <c r="H21" s="205"/>
      <c r="I21" s="205"/>
      <c r="J21" s="206"/>
      <c r="K21" s="53"/>
      <c r="L21" s="9"/>
    </row>
    <row r="22" spans="1:12" ht="18" customHeight="1" x14ac:dyDescent="0.25">
      <c r="A22" s="9"/>
      <c r="B22" s="61"/>
      <c r="C22" s="204"/>
      <c r="D22" s="205"/>
      <c r="E22" s="205"/>
      <c r="F22" s="205"/>
      <c r="G22" s="205"/>
      <c r="H22" s="205"/>
      <c r="I22" s="205"/>
      <c r="J22" s="206"/>
      <c r="K22" s="53"/>
      <c r="L22" s="9"/>
    </row>
    <row r="23" spans="1:12" ht="18" customHeight="1" x14ac:dyDescent="0.25">
      <c r="A23" s="9"/>
      <c r="B23" s="61"/>
      <c r="C23" s="204" t="s">
        <v>198</v>
      </c>
      <c r="D23" s="205"/>
      <c r="E23" s="205"/>
      <c r="F23" s="205"/>
      <c r="G23" s="205"/>
      <c r="H23" s="205"/>
      <c r="I23" s="205"/>
      <c r="J23" s="206"/>
      <c r="K23" s="53"/>
      <c r="L23" s="9"/>
    </row>
    <row r="24" spans="1:12" ht="18" customHeight="1" x14ac:dyDescent="0.25">
      <c r="A24" s="9"/>
      <c r="B24" s="61"/>
      <c r="C24" s="204"/>
      <c r="D24" s="205"/>
      <c r="E24" s="205"/>
      <c r="F24" s="205"/>
      <c r="G24" s="205"/>
      <c r="H24" s="205"/>
      <c r="I24" s="205"/>
      <c r="J24" s="206"/>
      <c r="K24" s="53"/>
      <c r="L24" s="9"/>
    </row>
    <row r="25" spans="1:12" ht="18" customHeight="1" x14ac:dyDescent="0.25">
      <c r="A25" s="9"/>
      <c r="B25" s="61"/>
      <c r="C25" s="204" t="s">
        <v>199</v>
      </c>
      <c r="D25" s="205"/>
      <c r="E25" s="205"/>
      <c r="F25" s="205"/>
      <c r="G25" s="205"/>
      <c r="H25" s="205"/>
      <c r="I25" s="205"/>
      <c r="J25" s="206"/>
      <c r="K25" s="53"/>
      <c r="L25" s="9"/>
    </row>
    <row r="26" spans="1:12" ht="18" customHeight="1" x14ac:dyDescent="0.25">
      <c r="A26" s="9"/>
      <c r="B26" s="61"/>
      <c r="C26" s="204"/>
      <c r="D26" s="205"/>
      <c r="E26" s="205"/>
      <c r="F26" s="205"/>
      <c r="G26" s="205"/>
      <c r="H26" s="205"/>
      <c r="I26" s="205"/>
      <c r="J26" s="206"/>
      <c r="K26" s="53"/>
      <c r="L26" s="9"/>
    </row>
    <row r="27" spans="1:12" ht="18" customHeight="1" x14ac:dyDescent="0.25">
      <c r="A27" s="9"/>
      <c r="B27" s="61"/>
      <c r="C27" s="204" t="s">
        <v>258</v>
      </c>
      <c r="D27" s="205"/>
      <c r="E27" s="205"/>
      <c r="F27" s="205"/>
      <c r="G27" s="205"/>
      <c r="H27" s="205"/>
      <c r="I27" s="205"/>
      <c r="J27" s="206"/>
      <c r="K27" s="53"/>
      <c r="L27" s="9"/>
    </row>
    <row r="28" spans="1:12" ht="18" customHeight="1" x14ac:dyDescent="0.25">
      <c r="A28" s="9"/>
      <c r="B28" s="65"/>
      <c r="C28" s="204"/>
      <c r="D28" s="205"/>
      <c r="E28" s="205"/>
      <c r="F28" s="205"/>
      <c r="G28" s="205"/>
      <c r="H28" s="205"/>
      <c r="I28" s="205"/>
      <c r="J28" s="206"/>
      <c r="K28" s="53"/>
      <c r="L28" s="9"/>
    </row>
    <row r="29" spans="1:12" ht="18" customHeight="1" x14ac:dyDescent="0.25">
      <c r="A29" s="9"/>
      <c r="B29" s="65"/>
      <c r="C29" s="204"/>
      <c r="D29" s="205"/>
      <c r="E29" s="205"/>
      <c r="F29" s="205"/>
      <c r="G29" s="205"/>
      <c r="H29" s="205"/>
      <c r="I29" s="205"/>
      <c r="J29" s="206"/>
      <c r="K29" s="53"/>
      <c r="L29" s="9"/>
    </row>
    <row r="30" spans="1:12" ht="18" customHeight="1" x14ac:dyDescent="0.25">
      <c r="A30" s="9"/>
      <c r="B30" s="65"/>
      <c r="C30" s="204"/>
      <c r="D30" s="205"/>
      <c r="E30" s="205"/>
      <c r="F30" s="205"/>
      <c r="G30" s="205"/>
      <c r="H30" s="205"/>
      <c r="I30" s="205"/>
      <c r="J30" s="206"/>
      <c r="K30" s="53"/>
      <c r="L30" s="9"/>
    </row>
    <row r="31" spans="1:12" ht="18" customHeight="1" x14ac:dyDescent="0.25">
      <c r="A31" s="9"/>
      <c r="B31" s="65"/>
      <c r="C31" s="204" t="s">
        <v>291</v>
      </c>
      <c r="D31" s="205"/>
      <c r="E31" s="205"/>
      <c r="F31" s="205"/>
      <c r="G31" s="205"/>
      <c r="H31" s="205"/>
      <c r="I31" s="205"/>
      <c r="J31" s="206"/>
      <c r="K31" s="53"/>
      <c r="L31" s="9"/>
    </row>
    <row r="32" spans="1:12" ht="18" customHeight="1" x14ac:dyDescent="0.25">
      <c r="A32" s="9"/>
      <c r="B32" s="65"/>
      <c r="C32" s="204"/>
      <c r="D32" s="205"/>
      <c r="E32" s="205"/>
      <c r="F32" s="205"/>
      <c r="G32" s="205"/>
      <c r="H32" s="205"/>
      <c r="I32" s="205"/>
      <c r="J32" s="206"/>
      <c r="K32" s="53"/>
      <c r="L32" s="9"/>
    </row>
    <row r="33" spans="1:12" ht="18" customHeight="1" x14ac:dyDescent="0.25">
      <c r="A33" s="9"/>
      <c r="B33" s="65"/>
      <c r="C33" s="201" t="s">
        <v>262</v>
      </c>
      <c r="D33" s="202"/>
      <c r="E33" s="202"/>
      <c r="F33" s="202"/>
      <c r="G33" s="202"/>
      <c r="H33" s="202"/>
      <c r="I33" s="202"/>
      <c r="J33" s="203"/>
      <c r="K33" s="53"/>
      <c r="L33" s="9"/>
    </row>
    <row r="34" spans="1:12" ht="18" customHeight="1" x14ac:dyDescent="0.25">
      <c r="A34" s="9"/>
      <c r="B34" s="65"/>
      <c r="C34" s="201"/>
      <c r="D34" s="202"/>
      <c r="E34" s="202"/>
      <c r="F34" s="202"/>
      <c r="G34" s="202"/>
      <c r="H34" s="202"/>
      <c r="I34" s="202"/>
      <c r="J34" s="203"/>
      <c r="K34" s="53"/>
      <c r="L34" s="9"/>
    </row>
    <row r="35" spans="1:12" ht="18" customHeight="1" x14ac:dyDescent="0.25">
      <c r="A35" s="9"/>
      <c r="B35" s="65"/>
      <c r="C35" s="201"/>
      <c r="D35" s="202"/>
      <c r="E35" s="202"/>
      <c r="F35" s="202"/>
      <c r="G35" s="202"/>
      <c r="H35" s="202"/>
      <c r="I35" s="202"/>
      <c r="J35" s="203"/>
      <c r="K35" s="53"/>
      <c r="L35" s="9"/>
    </row>
    <row r="36" spans="1:12" ht="18" customHeight="1" x14ac:dyDescent="0.25">
      <c r="A36" s="9"/>
      <c r="B36" s="65"/>
      <c r="C36" s="212" t="s">
        <v>259</v>
      </c>
      <c r="D36" s="213"/>
      <c r="E36" s="213"/>
      <c r="F36" s="213"/>
      <c r="G36" s="213"/>
      <c r="H36" s="213"/>
      <c r="I36" s="213"/>
      <c r="J36" s="214"/>
      <c r="K36" s="53"/>
      <c r="L36" s="9"/>
    </row>
    <row r="37" spans="1:12" ht="18" customHeight="1" x14ac:dyDescent="0.25">
      <c r="A37" s="9"/>
      <c r="B37" s="65"/>
      <c r="C37" s="207" t="s">
        <v>190</v>
      </c>
      <c r="D37" s="208"/>
      <c r="E37" s="208"/>
      <c r="F37" s="208"/>
      <c r="G37" s="208"/>
      <c r="H37" s="208"/>
      <c r="I37" s="208"/>
      <c r="J37" s="209"/>
      <c r="K37" s="53"/>
      <c r="L37" s="9"/>
    </row>
    <row r="38" spans="1:12" ht="18" customHeight="1" x14ac:dyDescent="0.25">
      <c r="A38" s="9"/>
      <c r="B38" s="65"/>
      <c r="C38" s="207" t="s">
        <v>260</v>
      </c>
      <c r="D38" s="208"/>
      <c r="E38" s="208"/>
      <c r="F38" s="208"/>
      <c r="G38" s="208"/>
      <c r="H38" s="208"/>
      <c r="I38" s="208"/>
      <c r="J38" s="209"/>
      <c r="K38" s="53"/>
      <c r="L38" s="9"/>
    </row>
    <row r="39" spans="1:12" ht="18" customHeight="1" x14ac:dyDescent="0.25">
      <c r="A39" s="9"/>
      <c r="B39" s="65"/>
      <c r="C39" s="215"/>
      <c r="D39" s="216"/>
      <c r="E39" s="216"/>
      <c r="F39" s="216"/>
      <c r="G39" s="216"/>
      <c r="H39" s="216"/>
      <c r="I39" s="216"/>
      <c r="J39" s="217"/>
      <c r="K39" s="53"/>
      <c r="L39" s="9"/>
    </row>
    <row r="40" spans="1:12" ht="18" customHeight="1" x14ac:dyDescent="0.25">
      <c r="A40" s="9"/>
      <c r="B40" s="65"/>
      <c r="C40" s="113"/>
      <c r="D40" s="113"/>
      <c r="E40" s="113"/>
      <c r="F40" s="113"/>
      <c r="G40" s="113"/>
      <c r="H40" s="113"/>
      <c r="I40" s="72"/>
      <c r="J40" s="112"/>
      <c r="K40" s="53"/>
      <c r="L40" s="9"/>
    </row>
    <row r="41" spans="1:12" ht="18" customHeight="1" x14ac:dyDescent="0.25">
      <c r="A41" s="9"/>
      <c r="B41" s="65"/>
      <c r="C41" s="60"/>
      <c r="D41" s="60"/>
      <c r="E41" s="60"/>
      <c r="F41" s="54"/>
      <c r="I41" s="4"/>
      <c r="K41" s="53"/>
      <c r="L41" s="9"/>
    </row>
    <row r="42" spans="1:12" ht="18" customHeight="1" x14ac:dyDescent="0.25">
      <c r="A42" s="9"/>
      <c r="B42" s="61"/>
      <c r="C42" s="218" t="s">
        <v>191</v>
      </c>
      <c r="D42" s="218"/>
      <c r="E42" s="218"/>
      <c r="F42" s="218"/>
      <c r="G42" s="211" t="s">
        <v>192</v>
      </c>
      <c r="H42" s="211"/>
      <c r="I42" s="211"/>
      <c r="J42" s="211"/>
      <c r="K42" s="55"/>
      <c r="L42" s="9"/>
    </row>
    <row r="43" spans="1:12" ht="18" customHeight="1" x14ac:dyDescent="0.25">
      <c r="A43" s="9"/>
      <c r="B43" s="61"/>
      <c r="C43" s="177" t="s">
        <v>193</v>
      </c>
      <c r="D43" s="177"/>
      <c r="E43" s="177"/>
      <c r="F43" s="177"/>
      <c r="G43" s="210">
        <v>46199</v>
      </c>
      <c r="H43" s="210"/>
      <c r="I43" s="210"/>
      <c r="J43" s="210"/>
      <c r="K43" s="56"/>
      <c r="L43" s="9"/>
    </row>
    <row r="44" spans="1:12" ht="18" customHeight="1" x14ac:dyDescent="0.25">
      <c r="A44" s="9"/>
      <c r="B44" s="61"/>
      <c r="K44" s="53"/>
      <c r="L44" s="9"/>
    </row>
    <row r="45" spans="1:12" ht="18" customHeight="1" x14ac:dyDescent="0.25">
      <c r="A45" s="9"/>
      <c r="B45" s="61"/>
      <c r="C45" s="200" t="s">
        <v>189</v>
      </c>
      <c r="D45" s="198"/>
      <c r="E45" s="198"/>
      <c r="F45" s="198"/>
      <c r="G45" s="198"/>
      <c r="H45" s="198" t="s">
        <v>261</v>
      </c>
      <c r="I45" s="198"/>
      <c r="J45" s="199"/>
      <c r="K45" s="53"/>
      <c r="L45" s="9"/>
    </row>
    <row r="46" spans="1:12" ht="20.100000000000001" customHeight="1" thickBot="1" x14ac:dyDescent="0.3">
      <c r="A46" s="9"/>
      <c r="B46" s="66"/>
      <c r="C46" s="67"/>
      <c r="D46" s="57"/>
      <c r="E46" s="59"/>
      <c r="F46" s="59"/>
      <c r="G46" s="58"/>
      <c r="H46" s="59"/>
      <c r="I46" s="57"/>
      <c r="J46" s="68"/>
      <c r="K46" s="69"/>
      <c r="L46" s="9"/>
    </row>
    <row r="47" spans="1:12" ht="15" customHeight="1" x14ac:dyDescent="0.25">
      <c r="A47" s="182"/>
      <c r="B47" s="182"/>
      <c r="C47" s="182"/>
      <c r="D47" s="33"/>
      <c r="E47" s="183" t="s">
        <v>292</v>
      </c>
      <c r="F47" s="183"/>
      <c r="G47" s="183"/>
      <c r="H47" s="183"/>
      <c r="I47" s="183"/>
      <c r="J47" s="183"/>
      <c r="K47" s="183"/>
      <c r="L47" s="183"/>
    </row>
  </sheetData>
  <sheetProtection algorithmName="SHA-512" hashValue="gis0jo+B3WrMqMO+umbMlYMHT/rpO689J2eMPlO8BGanGVmLDi516rzCIBmmw/3xozCrVR2BBzGoHRyWkPDk1w==" saltValue="r2q8uxHugZ5ubEZ67lnGsQ==" spinCount="100000" sheet="1" objects="1" scenarios="1"/>
  <mergeCells count="23">
    <mergeCell ref="C39:J39"/>
    <mergeCell ref="C19:J22"/>
    <mergeCell ref="C31:J32"/>
    <mergeCell ref="A1:L1"/>
    <mergeCell ref="C42:F42"/>
    <mergeCell ref="C17:J17"/>
    <mergeCell ref="C16:J16"/>
    <mergeCell ref="A47:C47"/>
    <mergeCell ref="E47:L47"/>
    <mergeCell ref="B3:K13"/>
    <mergeCell ref="C14:J15"/>
    <mergeCell ref="H45:J45"/>
    <mergeCell ref="C45:G45"/>
    <mergeCell ref="C33:J35"/>
    <mergeCell ref="C23:J24"/>
    <mergeCell ref="C25:J26"/>
    <mergeCell ref="C27:J30"/>
    <mergeCell ref="C38:J38"/>
    <mergeCell ref="C43:F43"/>
    <mergeCell ref="G43:J43"/>
    <mergeCell ref="G42:J42"/>
    <mergeCell ref="C37:J37"/>
    <mergeCell ref="C36:J36"/>
  </mergeCells>
  <hyperlinks>
    <hyperlink ref="C37" r:id="rId1" xr:uid="{00000000-0004-0000-0000-000000000000}"/>
    <hyperlink ref="C38" r:id="rId2" xr:uid="{00000000-0004-0000-0000-000001000000}"/>
  </hyperlinks>
  <printOptions horizontalCentered="1" verticalCentered="1"/>
  <pageMargins left="0.31496062992125984" right="0.31496062992125984" top="0.15748031496062992" bottom="0.15748031496062992" header="0.31496062992125984" footer="0.31496062992125984"/>
  <pageSetup paperSize="9" orientation="portrait" r:id="rId3"/>
  <drawing r:id="rId4"/>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خصوصی!$B$4:$B$14</xm:f>
          </x14:formula1>
          <xm:sqref>B28:B41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H30"/>
  <sheetViews>
    <sheetView rightToLeft="1" zoomScaleNormal="100" workbookViewId="0">
      <selection activeCell="A5" sqref="A5:E5"/>
    </sheetView>
  </sheetViews>
  <sheetFormatPr defaultRowHeight="18" x14ac:dyDescent="0.25"/>
  <cols>
    <col min="1" max="1" width="21.140625" style="2" bestFit="1" customWidth="1"/>
    <col min="2" max="4" width="25.5703125" style="2" bestFit="1" customWidth="1"/>
    <col min="5" max="8" width="25" style="2" bestFit="1" customWidth="1"/>
    <col min="9" max="16384" width="9.140625" style="2"/>
  </cols>
  <sheetData>
    <row r="1" spans="1:7" x14ac:dyDescent="0.25">
      <c r="A1" s="2" t="s">
        <v>86</v>
      </c>
      <c r="B1" s="2" t="s">
        <v>87</v>
      </c>
      <c r="C1" s="2" t="s">
        <v>88</v>
      </c>
      <c r="D1" s="2" t="s">
        <v>89</v>
      </c>
      <c r="E1" s="2" t="s">
        <v>90</v>
      </c>
      <c r="F1" s="239" t="s">
        <v>96</v>
      </c>
      <c r="G1" s="116" t="s">
        <v>253</v>
      </c>
    </row>
    <row r="2" spans="1:7" x14ac:dyDescent="0.25">
      <c r="A2" s="2">
        <f>'پمپ آتشنشانی '!E8</f>
        <v>0</v>
      </c>
      <c r="B2" s="2">
        <f>'پمپ آتشنشانی '!J8</f>
        <v>0</v>
      </c>
      <c r="C2" s="2">
        <f>'پمپ آتشنشانی '!D9</f>
        <v>0</v>
      </c>
      <c r="D2" s="2">
        <f>'پمپ آتشنشانی '!F9</f>
        <v>0</v>
      </c>
      <c r="E2" s="2">
        <f>'پمپ آتشنشانی '!J9</f>
        <v>0</v>
      </c>
      <c r="F2" s="237"/>
      <c r="G2" s="116" t="s">
        <v>254</v>
      </c>
    </row>
    <row r="3" spans="1:7" x14ac:dyDescent="0.25">
      <c r="A3" s="235" t="str">
        <f>IF(OR(A2=0,B2=0,C2=0,D2=0,E2=0),E6,IF(A2=A7,IF(B2&gt;=4830,D8,IF(D2&gt;=30,D8,IF(C2&gt;=9,D8,IF(D2&gt;=15,D9,IF(C2&gt;=4,D9,D7))))),IF(A2=A8,H17,IF(A2=A9,H19,IF(A2=A10,H21,IF(A2=A11,H23,IF(A2=A12,H25,IF(A2=A13,H27,H29))))))))</f>
        <v>اطلاعات پروژه را وارد کنید</v>
      </c>
      <c r="B3" s="235"/>
      <c r="C3" s="235"/>
      <c r="D3" s="235"/>
      <c r="E3" s="235"/>
      <c r="F3" s="34">
        <f>IF(A2=0,0,IF(A2=A7,10,IF(OR(D2&gt;23,C2&gt;7),100,10)))</f>
        <v>0</v>
      </c>
    </row>
    <row r="4" spans="1:7" x14ac:dyDescent="0.25">
      <c r="A4" s="235" t="str">
        <f>IF(OR(A2=0,B2=0,C2=0,D2=0,E2=0),E6,IF(A2=A7,IF(B2&gt;=4830,B8,IF(D2&gt;=30,B8,IF(C2&gt;=8,B8,IF(E2=C7,B9,B7)))),IF(A2=A8,IF(H18=B7,IF(E2=C7,B9,H18),H18),IF(A2=A9,IF(H20=B7,IF(E2=C7,B9,H20),H20),IF(A2=A10,IF(H22=B7,IF(E2=C7,B9,H22),H22),IF(A2=A11,IF(H24=B7,IF(E2=C7,B9,H24),H24),IF(A2=A12,IF(H26=B7,IF(E2=C7,B9,H26),H26),IF(A2=A13,IF(H28=B7,IF(E2=C7,B9,H28),H28),IF(H30=B7,IF(E2=C7,B9,H30),H30)))))))))</f>
        <v>اطلاعات پروژه را وارد کنید</v>
      </c>
      <c r="B4" s="235"/>
      <c r="C4" s="235"/>
      <c r="D4" s="235"/>
      <c r="E4" s="235"/>
      <c r="F4" s="35">
        <f>IF(A5=0,0,IF(A5=G1,250,400))</f>
        <v>0</v>
      </c>
    </row>
    <row r="5" spans="1:7" x14ac:dyDescent="0.25">
      <c r="A5" s="235">
        <f>'پمپ آتشنشانی '!H10</f>
        <v>0</v>
      </c>
      <c r="B5" s="235"/>
      <c r="C5" s="235"/>
      <c r="D5" s="235"/>
      <c r="E5" s="235"/>
      <c r="F5" s="237" t="s">
        <v>124</v>
      </c>
    </row>
    <row r="6" spans="1:7" x14ac:dyDescent="0.25">
      <c r="A6" s="2" t="s">
        <v>74</v>
      </c>
      <c r="B6" s="2" t="s">
        <v>91</v>
      </c>
      <c r="C6" s="2" t="s">
        <v>76</v>
      </c>
      <c r="D6" s="2" t="s">
        <v>85</v>
      </c>
      <c r="E6" s="2" t="s">
        <v>301</v>
      </c>
      <c r="F6" s="238"/>
    </row>
    <row r="7" spans="1:7" x14ac:dyDescent="0.25">
      <c r="A7" s="2" t="s">
        <v>80</v>
      </c>
      <c r="B7" s="2" t="s">
        <v>92</v>
      </c>
      <c r="C7" s="2" t="s">
        <v>77</v>
      </c>
      <c r="D7" s="2" t="s">
        <v>295</v>
      </c>
      <c r="F7" s="1"/>
    </row>
    <row r="8" spans="1:7" x14ac:dyDescent="0.25">
      <c r="A8" s="2" t="s">
        <v>107</v>
      </c>
      <c r="B8" s="2" t="s">
        <v>93</v>
      </c>
      <c r="C8" s="2" t="s">
        <v>78</v>
      </c>
      <c r="D8" s="2" t="s">
        <v>296</v>
      </c>
    </row>
    <row r="9" spans="1:7" x14ac:dyDescent="0.25">
      <c r="A9" s="2" t="s">
        <v>108</v>
      </c>
      <c r="B9" s="2" t="s">
        <v>94</v>
      </c>
      <c r="C9" s="2" t="s">
        <v>79</v>
      </c>
      <c r="D9" s="2" t="s">
        <v>297</v>
      </c>
    </row>
    <row r="10" spans="1:7" x14ac:dyDescent="0.25">
      <c r="A10" s="2" t="s">
        <v>109</v>
      </c>
    </row>
    <row r="11" spans="1:7" x14ac:dyDescent="0.25">
      <c r="A11" s="2" t="s">
        <v>122</v>
      </c>
    </row>
    <row r="12" spans="1:7" x14ac:dyDescent="0.25">
      <c r="A12" s="2" t="s">
        <v>111</v>
      </c>
    </row>
    <row r="13" spans="1:7" x14ac:dyDescent="0.25">
      <c r="A13" s="2" t="s">
        <v>112</v>
      </c>
    </row>
    <row r="14" spans="1:7" x14ac:dyDescent="0.25">
      <c r="A14" s="2" t="s">
        <v>113</v>
      </c>
    </row>
    <row r="15" spans="1:7" ht="18" customHeight="1" x14ac:dyDescent="0.25">
      <c r="A15" s="2" t="s">
        <v>114</v>
      </c>
      <c r="B15" s="235" t="s">
        <v>115</v>
      </c>
      <c r="C15" s="235"/>
      <c r="D15" s="235" t="s">
        <v>116</v>
      </c>
      <c r="E15" s="235"/>
      <c r="F15" s="236" t="s">
        <v>117</v>
      </c>
      <c r="G15" s="235" t="s">
        <v>118</v>
      </c>
    </row>
    <row r="16" spans="1:7" x14ac:dyDescent="0.25">
      <c r="A16" s="2" t="s">
        <v>121</v>
      </c>
      <c r="B16" s="2" t="s">
        <v>119</v>
      </c>
      <c r="C16" s="2" t="s">
        <v>120</v>
      </c>
      <c r="D16" s="2" t="s">
        <v>119</v>
      </c>
      <c r="E16" s="2" t="s">
        <v>120</v>
      </c>
      <c r="F16" s="236"/>
      <c r="G16" s="235"/>
    </row>
    <row r="17" spans="1:8" x14ac:dyDescent="0.25">
      <c r="A17" s="235" t="s">
        <v>107</v>
      </c>
      <c r="B17" s="2" t="s">
        <v>295</v>
      </c>
      <c r="C17" s="2" t="s">
        <v>297</v>
      </c>
      <c r="D17" s="2" t="s">
        <v>297</v>
      </c>
      <c r="E17" s="2" t="s">
        <v>296</v>
      </c>
      <c r="F17" s="2" t="s">
        <v>296</v>
      </c>
      <c r="G17" s="2" t="s">
        <v>296</v>
      </c>
      <c r="H17" s="2" t="str">
        <f>IF($D$2&lt;7,IF($B$2&lt;300,B17,C17),IF($D$2&lt;15,IF($B$2&lt;300,D17,E17),IF($D$2&lt;23,F17,G17)))</f>
        <v>بدون نیاز به سیستم</v>
      </c>
    </row>
    <row r="18" spans="1:8" x14ac:dyDescent="0.25">
      <c r="A18" s="235"/>
      <c r="B18" s="2" t="s">
        <v>92</v>
      </c>
      <c r="C18" s="2" t="s">
        <v>93</v>
      </c>
      <c r="D18" s="2" t="s">
        <v>93</v>
      </c>
      <c r="E18" s="2" t="s">
        <v>93</v>
      </c>
      <c r="F18" s="2" t="s">
        <v>93</v>
      </c>
      <c r="G18" s="2" t="s">
        <v>93</v>
      </c>
      <c r="H18" s="2" t="str">
        <f>IF($D$2&lt;7,IF($B$2&lt;300,B18,C18),IF($D$2&lt;15,IF($B$2&lt;300,D18,E18),IF($D$2&lt;23,F18,G18)))</f>
        <v>به شبکه بارنده (اسپرینکلر) نیاز ندارد</v>
      </c>
    </row>
    <row r="19" spans="1:8" x14ac:dyDescent="0.25">
      <c r="A19" s="235" t="s">
        <v>108</v>
      </c>
      <c r="B19" s="2" t="s">
        <v>295</v>
      </c>
      <c r="C19" s="2" t="s">
        <v>297</v>
      </c>
      <c r="D19" s="2" t="s">
        <v>297</v>
      </c>
      <c r="E19" s="2" t="s">
        <v>297</v>
      </c>
      <c r="F19" s="2" t="s">
        <v>297</v>
      </c>
      <c r="G19" s="2" t="s">
        <v>296</v>
      </c>
      <c r="H19" s="2" t="str">
        <f t="shared" ref="H19:H30" si="0">IF($D$2&lt;7,IF($B$2&lt;300,B19,C19),IF($D$2&lt;15,IF($B$2&lt;300,D19,E19),IF($D$2&lt;23,F19,G19)))</f>
        <v>بدون نیاز به سیستم</v>
      </c>
    </row>
    <row r="20" spans="1:8" x14ac:dyDescent="0.25">
      <c r="A20" s="235"/>
      <c r="B20" s="2" t="s">
        <v>92</v>
      </c>
      <c r="C20" s="2" t="s">
        <v>93</v>
      </c>
      <c r="D20" s="2" t="s">
        <v>93</v>
      </c>
      <c r="E20" s="2" t="s">
        <v>93</v>
      </c>
      <c r="F20" s="2" t="s">
        <v>93</v>
      </c>
      <c r="G20" s="2" t="s">
        <v>93</v>
      </c>
      <c r="H20" s="2" t="str">
        <f t="shared" si="0"/>
        <v>به شبکه بارنده (اسپرینکلر) نیاز ندارد</v>
      </c>
    </row>
    <row r="21" spans="1:8" x14ac:dyDescent="0.25">
      <c r="A21" s="235" t="s">
        <v>109</v>
      </c>
      <c r="B21" s="2" t="s">
        <v>295</v>
      </c>
      <c r="C21" s="2" t="s">
        <v>297</v>
      </c>
      <c r="D21" s="2" t="s">
        <v>297</v>
      </c>
      <c r="E21" s="2" t="s">
        <v>297</v>
      </c>
      <c r="F21" s="2" t="s">
        <v>297</v>
      </c>
      <c r="G21" s="2" t="s">
        <v>296</v>
      </c>
      <c r="H21" s="2" t="str">
        <f t="shared" si="0"/>
        <v>بدون نیاز به سیستم</v>
      </c>
    </row>
    <row r="22" spans="1:8" x14ac:dyDescent="0.25">
      <c r="A22" s="235"/>
      <c r="B22" s="2" t="s">
        <v>92</v>
      </c>
      <c r="C22" s="2" t="s">
        <v>92</v>
      </c>
      <c r="D22" s="2" t="s">
        <v>92</v>
      </c>
      <c r="E22" s="2" t="s">
        <v>92</v>
      </c>
      <c r="F22" s="2" t="s">
        <v>93</v>
      </c>
      <c r="G22" s="2" t="s">
        <v>93</v>
      </c>
      <c r="H22" s="2" t="str">
        <f t="shared" si="0"/>
        <v>به شبکه بارنده (اسپرینکلر) نیاز ندارد</v>
      </c>
    </row>
    <row r="23" spans="1:8" x14ac:dyDescent="0.25">
      <c r="A23" s="235" t="s">
        <v>110</v>
      </c>
      <c r="B23" s="2" t="s">
        <v>295</v>
      </c>
      <c r="C23" s="2" t="s">
        <v>297</v>
      </c>
      <c r="D23" s="2" t="s">
        <v>297</v>
      </c>
      <c r="E23" s="2" t="s">
        <v>297</v>
      </c>
      <c r="F23" s="2" t="s">
        <v>297</v>
      </c>
      <c r="G23" s="2" t="s">
        <v>296</v>
      </c>
      <c r="H23" s="2" t="str">
        <f t="shared" si="0"/>
        <v>بدون نیاز به سیستم</v>
      </c>
    </row>
    <row r="24" spans="1:8" x14ac:dyDescent="0.25">
      <c r="A24" s="235"/>
      <c r="B24" s="2" t="s">
        <v>92</v>
      </c>
      <c r="C24" s="2" t="s">
        <v>93</v>
      </c>
      <c r="D24" s="2" t="s">
        <v>92</v>
      </c>
      <c r="E24" s="2" t="s">
        <v>93</v>
      </c>
      <c r="F24" s="2" t="s">
        <v>93</v>
      </c>
      <c r="G24" s="2" t="s">
        <v>93</v>
      </c>
      <c r="H24" s="2" t="str">
        <f t="shared" si="0"/>
        <v>به شبکه بارنده (اسپرینکلر) نیاز ندارد</v>
      </c>
    </row>
    <row r="25" spans="1:8" x14ac:dyDescent="0.25">
      <c r="A25" s="235" t="s">
        <v>111</v>
      </c>
      <c r="B25" s="2" t="s">
        <v>295</v>
      </c>
      <c r="C25" s="2" t="s">
        <v>297</v>
      </c>
      <c r="D25" s="2" t="s">
        <v>297</v>
      </c>
      <c r="E25" s="2" t="s">
        <v>297</v>
      </c>
      <c r="F25" s="2" t="s">
        <v>297</v>
      </c>
      <c r="G25" s="2" t="s">
        <v>296</v>
      </c>
      <c r="H25" s="2" t="str">
        <f t="shared" si="0"/>
        <v>بدون نیاز به سیستم</v>
      </c>
    </row>
    <row r="26" spans="1:8" x14ac:dyDescent="0.25">
      <c r="A26" s="235"/>
      <c r="B26" s="2" t="s">
        <v>92</v>
      </c>
      <c r="C26" s="2" t="s">
        <v>93</v>
      </c>
      <c r="D26" s="2" t="s">
        <v>92</v>
      </c>
      <c r="E26" s="2" t="s">
        <v>93</v>
      </c>
      <c r="F26" s="2" t="s">
        <v>93</v>
      </c>
      <c r="G26" s="2" t="s">
        <v>93</v>
      </c>
      <c r="H26" s="2" t="str">
        <f t="shared" si="0"/>
        <v>به شبکه بارنده (اسپرینکلر) نیاز ندارد</v>
      </c>
    </row>
    <row r="27" spans="1:8" x14ac:dyDescent="0.25">
      <c r="A27" s="235" t="s">
        <v>112</v>
      </c>
      <c r="B27" s="2" t="s">
        <v>295</v>
      </c>
      <c r="C27" s="2" t="s">
        <v>297</v>
      </c>
      <c r="D27" s="2" t="s">
        <v>297</v>
      </c>
      <c r="E27" s="2" t="s">
        <v>296</v>
      </c>
      <c r="F27" s="2" t="s">
        <v>296</v>
      </c>
      <c r="G27" s="2" t="s">
        <v>296</v>
      </c>
      <c r="H27" s="2" t="str">
        <f t="shared" si="0"/>
        <v>بدون نیاز به سیستم</v>
      </c>
    </row>
    <row r="28" spans="1:8" x14ac:dyDescent="0.25">
      <c r="A28" s="235"/>
      <c r="B28" s="2" t="s">
        <v>92</v>
      </c>
      <c r="C28" s="2" t="s">
        <v>93</v>
      </c>
      <c r="D28" s="2" t="s">
        <v>93</v>
      </c>
      <c r="E28" s="2" t="s">
        <v>93</v>
      </c>
      <c r="F28" s="2" t="s">
        <v>93</v>
      </c>
      <c r="G28" s="2" t="s">
        <v>93</v>
      </c>
      <c r="H28" s="2" t="str">
        <f t="shared" si="0"/>
        <v>به شبکه بارنده (اسپرینکلر) نیاز ندارد</v>
      </c>
    </row>
    <row r="29" spans="1:8" x14ac:dyDescent="0.25">
      <c r="A29" s="235" t="s">
        <v>113</v>
      </c>
      <c r="B29" s="2" t="s">
        <v>82</v>
      </c>
      <c r="C29" s="2" t="s">
        <v>297</v>
      </c>
      <c r="D29" s="2" t="s">
        <v>297</v>
      </c>
      <c r="E29" s="2" t="s">
        <v>296</v>
      </c>
      <c r="F29" s="2" t="s">
        <v>300</v>
      </c>
      <c r="G29" s="2" t="s">
        <v>300</v>
      </c>
      <c r="H29" s="2" t="str">
        <f t="shared" si="0"/>
        <v>رایزر تر و خشک ترکیبی</v>
      </c>
    </row>
    <row r="30" spans="1:8" x14ac:dyDescent="0.25">
      <c r="A30" s="235"/>
      <c r="B30" s="2" t="s">
        <v>92</v>
      </c>
      <c r="C30" s="2" t="s">
        <v>93</v>
      </c>
      <c r="D30" s="2" t="s">
        <v>93</v>
      </c>
      <c r="E30" s="2" t="s">
        <v>93</v>
      </c>
      <c r="F30" s="2" t="s">
        <v>300</v>
      </c>
      <c r="G30" s="2" t="s">
        <v>300</v>
      </c>
      <c r="H30" s="2" t="str">
        <f t="shared" si="0"/>
        <v>به شبکه بارنده (اسپرینکلر) نیاز ندارد</v>
      </c>
    </row>
  </sheetData>
  <sheetProtection algorithmName="SHA-512" hashValue="usR2GZp/g+PbP6iLBwcDhsW1hyIVYmMvDVL/9IHZDBiq/EFShRChe+91dL764xJDFUjN3qE4DKsaW1yjm7Dx/g==" saltValue="jMiVNRFPjaaGayvb0S4PDA==" spinCount="100000" sheet="1" objects="1" scenarios="1"/>
  <mergeCells count="16">
    <mergeCell ref="A27:A28"/>
    <mergeCell ref="A29:A30"/>
    <mergeCell ref="A3:E3"/>
    <mergeCell ref="A4:E4"/>
    <mergeCell ref="F1:F2"/>
    <mergeCell ref="A17:A18"/>
    <mergeCell ref="A19:A20"/>
    <mergeCell ref="A21:A22"/>
    <mergeCell ref="A23:A24"/>
    <mergeCell ref="A25:A26"/>
    <mergeCell ref="G15:G16"/>
    <mergeCell ref="F15:F16"/>
    <mergeCell ref="F5:F6"/>
    <mergeCell ref="A5:E5"/>
    <mergeCell ref="B15:C15"/>
    <mergeCell ref="D15:E1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R46"/>
  <sheetViews>
    <sheetView rightToLeft="1" topLeftCell="A4" zoomScale="140" zoomScaleNormal="140" workbookViewId="0">
      <selection activeCell="D23" sqref="D23:E23"/>
    </sheetView>
  </sheetViews>
  <sheetFormatPr defaultColWidth="9" defaultRowHeight="18" x14ac:dyDescent="0.25"/>
  <cols>
    <col min="1" max="1" width="2.7109375" style="2" customWidth="1"/>
    <col min="2" max="2" width="5.7109375" style="2" customWidth="1"/>
    <col min="3" max="3" width="35.7109375" style="2" customWidth="1"/>
    <col min="4" max="11" width="5.7109375" style="2" customWidth="1"/>
    <col min="12" max="12" width="2.7109375" style="2" customWidth="1"/>
    <col min="13" max="18" width="4.7109375" style="2" customWidth="1"/>
    <col min="19" max="16384" width="9" style="2"/>
  </cols>
  <sheetData>
    <row r="1" spans="1:18" x14ac:dyDescent="0.25">
      <c r="A1" s="148" t="s">
        <v>64</v>
      </c>
      <c r="B1" s="148"/>
      <c r="C1" s="148"/>
      <c r="D1" s="148"/>
      <c r="E1" s="148"/>
      <c r="F1" s="148"/>
      <c r="G1" s="148"/>
      <c r="H1" s="148"/>
      <c r="I1" s="148"/>
      <c r="J1" s="148"/>
      <c r="K1" s="148"/>
      <c r="L1" s="148"/>
    </row>
    <row r="2" spans="1:18" ht="15" customHeight="1" thickBot="1" x14ac:dyDescent="0.3">
      <c r="A2" s="9"/>
      <c r="B2" s="9"/>
      <c r="C2" s="9"/>
      <c r="D2" s="9"/>
      <c r="E2" s="9"/>
      <c r="F2" s="9"/>
      <c r="G2" s="9"/>
      <c r="H2" s="9"/>
      <c r="I2" s="9"/>
      <c r="J2" s="9"/>
      <c r="K2" s="9"/>
      <c r="L2" s="9"/>
    </row>
    <row r="3" spans="1:18" ht="20.100000000000001" customHeight="1" thickBot="1" x14ac:dyDescent="0.3">
      <c r="A3" s="9"/>
      <c r="B3" s="153" t="s">
        <v>159</v>
      </c>
      <c r="C3" s="154"/>
      <c r="D3" s="154"/>
      <c r="E3" s="154"/>
      <c r="F3" s="154"/>
      <c r="G3" s="154"/>
      <c r="H3" s="155"/>
      <c r="I3" s="78"/>
      <c r="J3" s="156"/>
      <c r="K3" s="157"/>
      <c r="L3" s="9"/>
    </row>
    <row r="4" spans="1:18" ht="15" customHeight="1" thickBot="1" x14ac:dyDescent="0.3">
      <c r="A4" s="9"/>
      <c r="B4" s="11"/>
      <c r="C4" s="11"/>
      <c r="D4" s="11"/>
      <c r="E4" s="11"/>
      <c r="F4" s="11"/>
      <c r="G4" s="11"/>
      <c r="H4" s="11"/>
      <c r="I4" s="11"/>
      <c r="J4" s="158"/>
      <c r="K4" s="159"/>
      <c r="L4" s="9"/>
    </row>
    <row r="5" spans="1:18" ht="18" customHeight="1" thickBot="1" x14ac:dyDescent="0.3">
      <c r="A5" s="9"/>
      <c r="B5" s="74" t="s">
        <v>65</v>
      </c>
      <c r="C5" s="79" t="str">
        <f>کاور!C43</f>
        <v>پروژه نمونه</v>
      </c>
      <c r="D5" s="75" t="s">
        <v>49</v>
      </c>
      <c r="E5" s="162">
        <f>کاور!G43</f>
        <v>46199</v>
      </c>
      <c r="F5" s="162"/>
      <c r="G5" s="162"/>
      <c r="H5" s="163"/>
      <c r="I5" s="80"/>
      <c r="J5" s="160"/>
      <c r="K5" s="161"/>
      <c r="L5" s="10"/>
      <c r="M5" s="1"/>
      <c r="N5" s="1"/>
      <c r="O5" s="1"/>
      <c r="P5" s="1"/>
      <c r="Q5" s="1"/>
      <c r="R5" s="1"/>
    </row>
    <row r="6" spans="1:18" ht="15" customHeight="1" thickBot="1" x14ac:dyDescent="0.3">
      <c r="A6" s="9"/>
      <c r="B6" s="9"/>
      <c r="C6" s="9"/>
      <c r="D6" s="9"/>
      <c r="E6" s="9"/>
      <c r="F6" s="9"/>
      <c r="G6" s="9"/>
      <c r="H6" s="9"/>
      <c r="I6" s="9"/>
      <c r="J6" s="9"/>
      <c r="K6" s="9"/>
      <c r="L6" s="9"/>
    </row>
    <row r="7" spans="1:18" ht="18" customHeight="1" x14ac:dyDescent="0.25">
      <c r="A7" s="9"/>
      <c r="B7" s="149" t="s">
        <v>160</v>
      </c>
      <c r="C7" s="150"/>
      <c r="D7" s="150"/>
      <c r="E7" s="150"/>
      <c r="F7" s="150"/>
      <c r="G7" s="150"/>
      <c r="H7" s="150"/>
      <c r="I7" s="150"/>
      <c r="J7" s="150"/>
      <c r="K7" s="151"/>
      <c r="L7" s="9"/>
    </row>
    <row r="8" spans="1:18" ht="18" customHeight="1" x14ac:dyDescent="0.25">
      <c r="A8" s="9"/>
      <c r="B8" s="137" t="s">
        <v>162</v>
      </c>
      <c r="C8" s="138"/>
      <c r="D8" s="31" t="s">
        <v>167</v>
      </c>
      <c r="E8" s="175" t="s">
        <v>168</v>
      </c>
      <c r="F8" s="174"/>
      <c r="G8" s="244" t="s">
        <v>135</v>
      </c>
      <c r="H8" s="244"/>
      <c r="I8" s="174"/>
      <c r="J8" s="144"/>
      <c r="K8" s="145"/>
      <c r="L8" s="9"/>
    </row>
    <row r="9" spans="1:18" ht="18" customHeight="1" x14ac:dyDescent="0.25">
      <c r="A9" s="9"/>
      <c r="B9" s="137" t="s">
        <v>266</v>
      </c>
      <c r="C9" s="138"/>
      <c r="D9" s="138"/>
      <c r="E9" s="138"/>
      <c r="F9" s="245" t="s">
        <v>265</v>
      </c>
      <c r="G9" s="245"/>
      <c r="H9" s="121" t="s">
        <v>263</v>
      </c>
      <c r="I9" s="174">
        <v>0</v>
      </c>
      <c r="J9" s="144"/>
      <c r="K9" s="145"/>
      <c r="L9" s="9"/>
      <c r="O9" s="127"/>
    </row>
    <row r="10" spans="1:18" ht="18" customHeight="1" x14ac:dyDescent="0.25">
      <c r="A10" s="9"/>
      <c r="B10" s="137" t="s">
        <v>163</v>
      </c>
      <c r="C10" s="241"/>
      <c r="D10" s="143" t="s">
        <v>136</v>
      </c>
      <c r="E10" s="135"/>
      <c r="F10" s="120">
        <v>0</v>
      </c>
      <c r="G10" s="244" t="s">
        <v>135</v>
      </c>
      <c r="H10" s="244"/>
      <c r="I10" s="242">
        <f>I8+(I8*F10/100)</f>
        <v>0</v>
      </c>
      <c r="J10" s="242"/>
      <c r="K10" s="243"/>
      <c r="L10" s="9"/>
    </row>
    <row r="11" spans="1:18" ht="20.100000000000001" customHeight="1" thickBot="1" x14ac:dyDescent="0.3">
      <c r="A11" s="9"/>
      <c r="B11" s="170" t="s">
        <v>161</v>
      </c>
      <c r="C11" s="171"/>
      <c r="D11" s="27" t="s">
        <v>51</v>
      </c>
      <c r="E11" s="29">
        <f>J11*3.78</f>
        <v>0</v>
      </c>
      <c r="F11" s="172" t="s">
        <v>197</v>
      </c>
      <c r="G11" s="173"/>
      <c r="H11" s="29">
        <f>J11*0.227</f>
        <v>0</v>
      </c>
      <c r="I11" s="27" t="s">
        <v>0</v>
      </c>
      <c r="J11" s="164">
        <f>IF(AND(F9="مقدار جدید",I9=0),"∆T=?",IF(F9="مقدار پیش فرض",IF(E8="گرمایش",I10/10000,I10/5000),I10/(500*I9)))</f>
        <v>0</v>
      </c>
      <c r="K11" s="165"/>
      <c r="L11" s="9"/>
    </row>
    <row r="12" spans="1:18" ht="15" customHeight="1" thickBot="1" x14ac:dyDescent="0.3">
      <c r="A12" s="9"/>
      <c r="B12" s="9"/>
      <c r="C12" s="166"/>
      <c r="D12" s="166"/>
      <c r="E12" s="166"/>
      <c r="F12" s="166"/>
      <c r="G12" s="166"/>
      <c r="H12" s="166"/>
      <c r="I12" s="9"/>
      <c r="J12" s="166"/>
      <c r="K12" s="166"/>
      <c r="L12" s="9"/>
    </row>
    <row r="13" spans="1:18" ht="18" customHeight="1" x14ac:dyDescent="0.25">
      <c r="A13" s="9"/>
      <c r="B13" s="149" t="s">
        <v>178</v>
      </c>
      <c r="C13" s="150"/>
      <c r="D13" s="150"/>
      <c r="E13" s="150"/>
      <c r="F13" s="150"/>
      <c r="G13" s="150"/>
      <c r="H13" s="150"/>
      <c r="I13" s="150"/>
      <c r="J13" s="150"/>
      <c r="K13" s="151"/>
      <c r="L13" s="9"/>
    </row>
    <row r="14" spans="1:18" ht="18" customHeight="1" x14ac:dyDescent="0.25">
      <c r="A14" s="9"/>
      <c r="B14" s="167" t="s">
        <v>250</v>
      </c>
      <c r="C14" s="168"/>
      <c r="D14" s="168"/>
      <c r="E14" s="168"/>
      <c r="F14" s="168"/>
      <c r="G14" s="168"/>
      <c r="H14" s="168"/>
      <c r="I14" s="7" t="s">
        <v>10</v>
      </c>
      <c r="J14" s="13" t="s">
        <v>5</v>
      </c>
      <c r="K14" s="18"/>
      <c r="L14" s="9"/>
    </row>
    <row r="15" spans="1:18" ht="18" customHeight="1" x14ac:dyDescent="0.25">
      <c r="A15" s="9"/>
      <c r="B15" s="167" t="s">
        <v>174</v>
      </c>
      <c r="C15" s="168"/>
      <c r="D15" s="168"/>
      <c r="E15" s="168"/>
      <c r="F15" s="168"/>
      <c r="G15" s="168"/>
      <c r="H15" s="168"/>
      <c r="I15" s="7" t="s">
        <v>10</v>
      </c>
      <c r="J15" s="13" t="s">
        <v>5</v>
      </c>
      <c r="K15" s="18"/>
      <c r="L15" s="9"/>
    </row>
    <row r="16" spans="1:18" ht="18" customHeight="1" x14ac:dyDescent="0.25">
      <c r="A16" s="9"/>
      <c r="B16" s="167" t="s">
        <v>251</v>
      </c>
      <c r="C16" s="168"/>
      <c r="D16" s="168"/>
      <c r="E16" s="168"/>
      <c r="F16" s="168"/>
      <c r="G16" s="168"/>
      <c r="H16" s="168"/>
      <c r="I16" s="7" t="s">
        <v>10</v>
      </c>
      <c r="J16" s="13" t="s">
        <v>5</v>
      </c>
      <c r="K16" s="18"/>
      <c r="L16" s="9"/>
    </row>
    <row r="17" spans="1:12" ht="18" customHeight="1" x14ac:dyDescent="0.25">
      <c r="A17" s="9"/>
      <c r="B17" s="167" t="s">
        <v>170</v>
      </c>
      <c r="C17" s="168"/>
      <c r="D17" s="168"/>
      <c r="E17" s="168"/>
      <c r="F17" s="168"/>
      <c r="G17" s="168"/>
      <c r="H17" s="168"/>
      <c r="I17" s="7" t="s">
        <v>10</v>
      </c>
      <c r="J17" s="13" t="s">
        <v>5</v>
      </c>
      <c r="K17" s="14">
        <f>2*SUM(K14:K16)</f>
        <v>0</v>
      </c>
      <c r="L17" s="9"/>
    </row>
    <row r="18" spans="1:12" ht="18" customHeight="1" x14ac:dyDescent="0.25">
      <c r="A18" s="9"/>
      <c r="B18" s="137" t="s">
        <v>182</v>
      </c>
      <c r="C18" s="138"/>
      <c r="D18" s="174" t="s">
        <v>183</v>
      </c>
      <c r="E18" s="144"/>
      <c r="F18" s="144"/>
      <c r="G18" s="144"/>
      <c r="H18" s="175"/>
      <c r="I18" s="7" t="s">
        <v>10</v>
      </c>
      <c r="J18" s="13" t="s">
        <v>5</v>
      </c>
      <c r="K18" s="14">
        <f>IF(D18=سیرکولاتور!P1,0.5*'پمپ سیرکولاتور گرمایش-سرمایش'!K17,0)</f>
        <v>0</v>
      </c>
      <c r="L18" s="9"/>
    </row>
    <row r="19" spans="1:12" ht="18" customHeight="1" x14ac:dyDescent="0.25">
      <c r="A19" s="9"/>
      <c r="B19" s="167" t="s">
        <v>28</v>
      </c>
      <c r="C19" s="168"/>
      <c r="D19" s="169" t="s">
        <v>72</v>
      </c>
      <c r="E19" s="169"/>
      <c r="F19" s="8" t="s">
        <v>7</v>
      </c>
      <c r="G19" s="169" t="s">
        <v>9</v>
      </c>
      <c r="H19" s="169"/>
      <c r="I19" s="8"/>
      <c r="J19" s="13"/>
      <c r="K19" s="14"/>
      <c r="L19" s="9"/>
    </row>
    <row r="20" spans="1:12" ht="18" customHeight="1" x14ac:dyDescent="0.25">
      <c r="A20" s="9"/>
      <c r="B20" s="176"/>
      <c r="C20" s="177"/>
      <c r="D20" s="177"/>
      <c r="E20" s="177"/>
      <c r="F20" s="17"/>
      <c r="G20" s="13" t="s">
        <v>5</v>
      </c>
      <c r="H20" s="16">
        <f>سیرکولاتور!D17</f>
        <v>0</v>
      </c>
      <c r="I20" s="7" t="s">
        <v>10</v>
      </c>
      <c r="J20" s="13" t="s">
        <v>5</v>
      </c>
      <c r="K20" s="14">
        <f>H20*F20</f>
        <v>0</v>
      </c>
      <c r="L20" s="9"/>
    </row>
    <row r="21" spans="1:12" ht="18" customHeight="1" x14ac:dyDescent="0.25">
      <c r="A21" s="9"/>
      <c r="B21" s="176"/>
      <c r="C21" s="177"/>
      <c r="D21" s="177"/>
      <c r="E21" s="177"/>
      <c r="F21" s="17"/>
      <c r="G21" s="13" t="s">
        <v>5</v>
      </c>
      <c r="H21" s="16">
        <f>سیرکولاتور!D18</f>
        <v>0</v>
      </c>
      <c r="I21" s="7" t="s">
        <v>10</v>
      </c>
      <c r="J21" s="13" t="s">
        <v>5</v>
      </c>
      <c r="K21" s="14">
        <f t="shared" ref="K21:K37" si="0">H21*F21</f>
        <v>0</v>
      </c>
      <c r="L21" s="9"/>
    </row>
    <row r="22" spans="1:12" ht="18" customHeight="1" x14ac:dyDescent="0.25">
      <c r="A22" s="9"/>
      <c r="B22" s="176"/>
      <c r="C22" s="177"/>
      <c r="D22" s="177"/>
      <c r="E22" s="177"/>
      <c r="F22" s="17"/>
      <c r="G22" s="13" t="s">
        <v>5</v>
      </c>
      <c r="H22" s="16">
        <f>سیرکولاتور!D19</f>
        <v>0</v>
      </c>
      <c r="I22" s="7" t="s">
        <v>10</v>
      </c>
      <c r="J22" s="13" t="s">
        <v>5</v>
      </c>
      <c r="K22" s="14">
        <f t="shared" si="0"/>
        <v>0</v>
      </c>
      <c r="L22" s="9"/>
    </row>
    <row r="23" spans="1:12" ht="18" customHeight="1" x14ac:dyDescent="0.25">
      <c r="A23" s="9"/>
      <c r="B23" s="176"/>
      <c r="C23" s="177"/>
      <c r="D23" s="177"/>
      <c r="E23" s="177"/>
      <c r="F23" s="17"/>
      <c r="G23" s="13" t="s">
        <v>5</v>
      </c>
      <c r="H23" s="16">
        <f>سیرکولاتور!D20</f>
        <v>0</v>
      </c>
      <c r="I23" s="7" t="s">
        <v>10</v>
      </c>
      <c r="J23" s="13" t="s">
        <v>5</v>
      </c>
      <c r="K23" s="14">
        <f t="shared" si="0"/>
        <v>0</v>
      </c>
      <c r="L23" s="9"/>
    </row>
    <row r="24" spans="1:12" ht="18" customHeight="1" x14ac:dyDescent="0.25">
      <c r="A24" s="9"/>
      <c r="B24" s="176"/>
      <c r="C24" s="177"/>
      <c r="D24" s="177"/>
      <c r="E24" s="177"/>
      <c r="F24" s="17"/>
      <c r="G24" s="13" t="s">
        <v>5</v>
      </c>
      <c r="H24" s="16">
        <f>سیرکولاتور!D21</f>
        <v>0</v>
      </c>
      <c r="I24" s="7" t="s">
        <v>10</v>
      </c>
      <c r="J24" s="13" t="s">
        <v>5</v>
      </c>
      <c r="K24" s="14">
        <f t="shared" si="0"/>
        <v>0</v>
      </c>
      <c r="L24" s="9"/>
    </row>
    <row r="25" spans="1:12" ht="18" customHeight="1" x14ac:dyDescent="0.25">
      <c r="A25" s="9"/>
      <c r="B25" s="176"/>
      <c r="C25" s="177"/>
      <c r="D25" s="177"/>
      <c r="E25" s="177"/>
      <c r="F25" s="17"/>
      <c r="G25" s="13" t="s">
        <v>5</v>
      </c>
      <c r="H25" s="16">
        <f>سیرکولاتور!D22</f>
        <v>0</v>
      </c>
      <c r="I25" s="7" t="s">
        <v>10</v>
      </c>
      <c r="J25" s="13" t="s">
        <v>5</v>
      </c>
      <c r="K25" s="14">
        <f t="shared" si="0"/>
        <v>0</v>
      </c>
      <c r="L25" s="9"/>
    </row>
    <row r="26" spans="1:12" ht="18" customHeight="1" x14ac:dyDescent="0.25">
      <c r="A26" s="9"/>
      <c r="B26" s="176"/>
      <c r="C26" s="177"/>
      <c r="D26" s="177"/>
      <c r="E26" s="177"/>
      <c r="F26" s="17"/>
      <c r="G26" s="13" t="s">
        <v>5</v>
      </c>
      <c r="H26" s="16">
        <f>سیرکولاتور!D23</f>
        <v>0</v>
      </c>
      <c r="I26" s="7" t="s">
        <v>10</v>
      </c>
      <c r="J26" s="13" t="s">
        <v>5</v>
      </c>
      <c r="K26" s="14">
        <f t="shared" si="0"/>
        <v>0</v>
      </c>
      <c r="L26" s="9"/>
    </row>
    <row r="27" spans="1:12" ht="18" customHeight="1" x14ac:dyDescent="0.25">
      <c r="A27" s="9"/>
      <c r="B27" s="176"/>
      <c r="C27" s="177"/>
      <c r="D27" s="177"/>
      <c r="E27" s="177"/>
      <c r="F27" s="17"/>
      <c r="G27" s="13" t="s">
        <v>5</v>
      </c>
      <c r="H27" s="16">
        <f>سیرکولاتور!D24</f>
        <v>0</v>
      </c>
      <c r="I27" s="7" t="s">
        <v>10</v>
      </c>
      <c r="J27" s="13" t="s">
        <v>5</v>
      </c>
      <c r="K27" s="14">
        <f t="shared" si="0"/>
        <v>0</v>
      </c>
      <c r="L27" s="9"/>
    </row>
    <row r="28" spans="1:12" ht="18" customHeight="1" x14ac:dyDescent="0.25">
      <c r="A28" s="9"/>
      <c r="B28" s="176"/>
      <c r="C28" s="177"/>
      <c r="D28" s="177"/>
      <c r="E28" s="177"/>
      <c r="F28" s="17"/>
      <c r="G28" s="13" t="s">
        <v>5</v>
      </c>
      <c r="H28" s="16">
        <f>سیرکولاتور!D25</f>
        <v>0</v>
      </c>
      <c r="I28" s="7" t="s">
        <v>10</v>
      </c>
      <c r="J28" s="13" t="s">
        <v>5</v>
      </c>
      <c r="K28" s="14">
        <f t="shared" si="0"/>
        <v>0</v>
      </c>
      <c r="L28" s="9"/>
    </row>
    <row r="29" spans="1:12" ht="18" customHeight="1" x14ac:dyDescent="0.25">
      <c r="A29" s="9"/>
      <c r="B29" s="176"/>
      <c r="C29" s="177"/>
      <c r="D29" s="177"/>
      <c r="E29" s="177"/>
      <c r="F29" s="17"/>
      <c r="G29" s="13" t="s">
        <v>5</v>
      </c>
      <c r="H29" s="16">
        <f>سیرکولاتور!D26</f>
        <v>0</v>
      </c>
      <c r="I29" s="7" t="s">
        <v>10</v>
      </c>
      <c r="J29" s="13" t="s">
        <v>5</v>
      </c>
      <c r="K29" s="14">
        <f t="shared" si="0"/>
        <v>0</v>
      </c>
      <c r="L29" s="9"/>
    </row>
    <row r="30" spans="1:12" ht="18" customHeight="1" x14ac:dyDescent="0.25">
      <c r="A30" s="9"/>
      <c r="B30" s="176"/>
      <c r="C30" s="177"/>
      <c r="D30" s="177"/>
      <c r="E30" s="177"/>
      <c r="F30" s="17"/>
      <c r="G30" s="13" t="s">
        <v>5</v>
      </c>
      <c r="H30" s="16">
        <f>سیرکولاتور!D27</f>
        <v>0</v>
      </c>
      <c r="I30" s="7" t="s">
        <v>10</v>
      </c>
      <c r="J30" s="13" t="s">
        <v>5</v>
      </c>
      <c r="K30" s="14">
        <f t="shared" si="0"/>
        <v>0</v>
      </c>
      <c r="L30" s="9"/>
    </row>
    <row r="31" spans="1:12" ht="18" customHeight="1" x14ac:dyDescent="0.25">
      <c r="A31" s="9"/>
      <c r="B31" s="176"/>
      <c r="C31" s="177"/>
      <c r="D31" s="177"/>
      <c r="E31" s="177"/>
      <c r="F31" s="17"/>
      <c r="G31" s="13" t="s">
        <v>5</v>
      </c>
      <c r="H31" s="16">
        <f>سیرکولاتور!D28</f>
        <v>0</v>
      </c>
      <c r="I31" s="7" t="s">
        <v>10</v>
      </c>
      <c r="J31" s="13" t="s">
        <v>5</v>
      </c>
      <c r="K31" s="14">
        <f t="shared" si="0"/>
        <v>0</v>
      </c>
      <c r="L31" s="9"/>
    </row>
    <row r="32" spans="1:12" ht="18" customHeight="1" x14ac:dyDescent="0.25">
      <c r="A32" s="9"/>
      <c r="B32" s="176"/>
      <c r="C32" s="177"/>
      <c r="D32" s="177"/>
      <c r="E32" s="177"/>
      <c r="F32" s="17"/>
      <c r="G32" s="13" t="s">
        <v>5</v>
      </c>
      <c r="H32" s="16">
        <f>سیرکولاتور!D29</f>
        <v>0</v>
      </c>
      <c r="I32" s="7" t="s">
        <v>10</v>
      </c>
      <c r="J32" s="13" t="s">
        <v>5</v>
      </c>
      <c r="K32" s="14">
        <f t="shared" si="0"/>
        <v>0</v>
      </c>
      <c r="L32" s="9"/>
    </row>
    <row r="33" spans="1:12" ht="18" customHeight="1" x14ac:dyDescent="0.25">
      <c r="A33" s="9"/>
      <c r="B33" s="176"/>
      <c r="C33" s="177"/>
      <c r="D33" s="177"/>
      <c r="E33" s="177"/>
      <c r="F33" s="17"/>
      <c r="G33" s="13" t="s">
        <v>5</v>
      </c>
      <c r="H33" s="16">
        <f>سیرکولاتور!D30</f>
        <v>0</v>
      </c>
      <c r="I33" s="7" t="s">
        <v>10</v>
      </c>
      <c r="J33" s="13" t="s">
        <v>5</v>
      </c>
      <c r="K33" s="14">
        <f t="shared" si="0"/>
        <v>0</v>
      </c>
      <c r="L33" s="9"/>
    </row>
    <row r="34" spans="1:12" ht="18" customHeight="1" x14ac:dyDescent="0.25">
      <c r="A34" s="9"/>
      <c r="B34" s="240"/>
      <c r="C34" s="175"/>
      <c r="D34" s="174"/>
      <c r="E34" s="175"/>
      <c r="F34" s="17"/>
      <c r="G34" s="13" t="s">
        <v>5</v>
      </c>
      <c r="H34" s="16">
        <f>سیرکولاتور!D31</f>
        <v>0</v>
      </c>
      <c r="I34" s="7" t="s">
        <v>10</v>
      </c>
      <c r="J34" s="13" t="s">
        <v>5</v>
      </c>
      <c r="K34" s="14">
        <f t="shared" si="0"/>
        <v>0</v>
      </c>
      <c r="L34" s="9"/>
    </row>
    <row r="35" spans="1:12" ht="18" customHeight="1" x14ac:dyDescent="0.25">
      <c r="A35" s="9"/>
      <c r="B35" s="240"/>
      <c r="C35" s="175"/>
      <c r="D35" s="174"/>
      <c r="E35" s="175"/>
      <c r="F35" s="17"/>
      <c r="G35" s="13" t="s">
        <v>5</v>
      </c>
      <c r="H35" s="16">
        <f>سیرکولاتور!D32</f>
        <v>0</v>
      </c>
      <c r="I35" s="7" t="s">
        <v>10</v>
      </c>
      <c r="J35" s="13" t="s">
        <v>5</v>
      </c>
      <c r="K35" s="14">
        <f t="shared" si="0"/>
        <v>0</v>
      </c>
      <c r="L35" s="9"/>
    </row>
    <row r="36" spans="1:12" ht="18" customHeight="1" x14ac:dyDescent="0.25">
      <c r="A36" s="9"/>
      <c r="B36" s="240"/>
      <c r="C36" s="175"/>
      <c r="D36" s="174"/>
      <c r="E36" s="175"/>
      <c r="F36" s="17"/>
      <c r="G36" s="13" t="s">
        <v>5</v>
      </c>
      <c r="H36" s="16">
        <f>سیرکولاتور!D33</f>
        <v>0</v>
      </c>
      <c r="I36" s="7" t="s">
        <v>10</v>
      </c>
      <c r="J36" s="13" t="s">
        <v>5</v>
      </c>
      <c r="K36" s="14">
        <f t="shared" si="0"/>
        <v>0</v>
      </c>
      <c r="L36" s="9"/>
    </row>
    <row r="37" spans="1:12" ht="18" customHeight="1" x14ac:dyDescent="0.25">
      <c r="A37" s="9"/>
      <c r="B37" s="176"/>
      <c r="C37" s="177"/>
      <c r="D37" s="177"/>
      <c r="E37" s="177"/>
      <c r="F37" s="17"/>
      <c r="G37" s="13" t="s">
        <v>5</v>
      </c>
      <c r="H37" s="16">
        <f>سیرکولاتور!D34</f>
        <v>0</v>
      </c>
      <c r="I37" s="7" t="s">
        <v>10</v>
      </c>
      <c r="J37" s="13" t="s">
        <v>5</v>
      </c>
      <c r="K37" s="14">
        <f t="shared" si="0"/>
        <v>0</v>
      </c>
      <c r="L37" s="9"/>
    </row>
    <row r="38" spans="1:12" ht="18" customHeight="1" x14ac:dyDescent="0.25">
      <c r="A38" s="9"/>
      <c r="B38" s="167" t="s">
        <v>52</v>
      </c>
      <c r="C38" s="168"/>
      <c r="D38" s="168"/>
      <c r="E38" s="168"/>
      <c r="F38" s="168"/>
      <c r="G38" s="168"/>
      <c r="H38" s="168"/>
      <c r="I38" s="7" t="s">
        <v>10</v>
      </c>
      <c r="J38" s="13" t="s">
        <v>5</v>
      </c>
      <c r="K38" s="15">
        <f>IF(K18=0,SUM(K20:K37)+K17,K18+K17)</f>
        <v>0</v>
      </c>
      <c r="L38" s="9"/>
    </row>
    <row r="39" spans="1:12" ht="18" customHeight="1" x14ac:dyDescent="0.25">
      <c r="A39" s="9"/>
      <c r="B39" s="167" t="s">
        <v>32</v>
      </c>
      <c r="C39" s="178"/>
      <c r="D39" s="179" t="s">
        <v>33</v>
      </c>
      <c r="E39" s="180"/>
      <c r="F39" s="229"/>
      <c r="G39" s="36">
        <v>2.5</v>
      </c>
      <c r="H39" s="32" t="s">
        <v>34</v>
      </c>
      <c r="I39" s="7" t="s">
        <v>10</v>
      </c>
      <c r="J39" s="13" t="s">
        <v>5</v>
      </c>
      <c r="K39" s="25">
        <f>G39*(K38/100)</f>
        <v>0</v>
      </c>
      <c r="L39" s="9"/>
    </row>
    <row r="40" spans="1:12" ht="18" customHeight="1" x14ac:dyDescent="0.25">
      <c r="A40" s="9"/>
      <c r="B40" s="137" t="s">
        <v>268</v>
      </c>
      <c r="C40" s="138"/>
      <c r="D40" s="144"/>
      <c r="E40" s="144"/>
      <c r="F40" s="119" t="s">
        <v>194</v>
      </c>
      <c r="G40" s="118" t="s">
        <v>0</v>
      </c>
      <c r="H40" s="120"/>
      <c r="I40" s="7" t="s">
        <v>10</v>
      </c>
      <c r="J40" s="13" t="s">
        <v>5</v>
      </c>
      <c r="K40" s="25">
        <f>IF(OR(H40=0,D40=0),0,0.703*(H40/سیرکولاتور!D35)^2)</f>
        <v>0</v>
      </c>
      <c r="L40" s="9"/>
    </row>
    <row r="41" spans="1:12" ht="18" customHeight="1" x14ac:dyDescent="0.25">
      <c r="A41" s="9"/>
      <c r="B41" s="167" t="s">
        <v>164</v>
      </c>
      <c r="C41" s="168"/>
      <c r="D41" s="168"/>
      <c r="E41" s="168"/>
      <c r="F41" s="168"/>
      <c r="G41" s="168"/>
      <c r="H41" s="168"/>
      <c r="I41" s="7" t="s">
        <v>10</v>
      </c>
      <c r="J41" s="13" t="s">
        <v>5</v>
      </c>
      <c r="K41" s="37"/>
      <c r="L41" s="9"/>
    </row>
    <row r="42" spans="1:12" ht="18" customHeight="1" x14ac:dyDescent="0.25">
      <c r="A42" s="9"/>
      <c r="B42" s="137" t="s">
        <v>165</v>
      </c>
      <c r="C42" s="138"/>
      <c r="D42" s="138"/>
      <c r="E42" s="138"/>
      <c r="F42" s="138"/>
      <c r="G42" s="138"/>
      <c r="H42" s="241"/>
      <c r="I42" s="7" t="s">
        <v>10</v>
      </c>
      <c r="J42" s="13" t="s">
        <v>5</v>
      </c>
      <c r="K42" s="37"/>
      <c r="L42" s="9"/>
    </row>
    <row r="43" spans="1:12" ht="18" customHeight="1" x14ac:dyDescent="0.25">
      <c r="A43" s="9"/>
      <c r="B43" s="137" t="s">
        <v>155</v>
      </c>
      <c r="C43" s="138"/>
      <c r="D43" s="138"/>
      <c r="E43" s="138"/>
      <c r="F43" s="138"/>
      <c r="G43" s="138"/>
      <c r="H43" s="241"/>
      <c r="I43" s="7" t="s">
        <v>10</v>
      </c>
      <c r="J43" s="13" t="s">
        <v>5</v>
      </c>
      <c r="K43" s="133">
        <f>SUM(K39:K42)</f>
        <v>0</v>
      </c>
      <c r="L43" s="9"/>
    </row>
    <row r="44" spans="1:12" ht="18" customHeight="1" x14ac:dyDescent="0.25">
      <c r="A44" s="9"/>
      <c r="B44" s="137" t="s">
        <v>154</v>
      </c>
      <c r="C44" s="138"/>
      <c r="D44" s="143" t="s">
        <v>136</v>
      </c>
      <c r="E44" s="135"/>
      <c r="F44" s="120"/>
      <c r="G44" s="51"/>
      <c r="H44" s="51"/>
      <c r="I44" s="7" t="s">
        <v>10</v>
      </c>
      <c r="J44" s="13" t="s">
        <v>5</v>
      </c>
      <c r="K44" s="52">
        <f>K43+(K43*F44/100)</f>
        <v>0</v>
      </c>
      <c r="L44" s="9"/>
    </row>
    <row r="45" spans="1:12" ht="20.100000000000001" customHeight="1" thickBot="1" x14ac:dyDescent="0.3">
      <c r="A45" s="9"/>
      <c r="B45" s="170" t="s">
        <v>166</v>
      </c>
      <c r="C45" s="171"/>
      <c r="D45" s="26" t="s">
        <v>63</v>
      </c>
      <c r="E45" s="184">
        <f>J45*3.28</f>
        <v>0</v>
      </c>
      <c r="F45" s="185"/>
      <c r="G45" s="27" t="s">
        <v>62</v>
      </c>
      <c r="H45" s="28">
        <f>J45*1.42</f>
        <v>0</v>
      </c>
      <c r="I45" s="26" t="s">
        <v>5</v>
      </c>
      <c r="J45" s="164">
        <f>K44</f>
        <v>0</v>
      </c>
      <c r="K45" s="165"/>
      <c r="L45" s="9"/>
    </row>
    <row r="46" spans="1:12" ht="15" customHeight="1" x14ac:dyDescent="0.25">
      <c r="A46" s="182"/>
      <c r="B46" s="182"/>
      <c r="C46" s="182"/>
      <c r="D46" s="33"/>
      <c r="E46" s="183" t="s">
        <v>292</v>
      </c>
      <c r="F46" s="183"/>
      <c r="G46" s="183"/>
      <c r="H46" s="183"/>
      <c r="I46" s="183"/>
      <c r="J46" s="183"/>
      <c r="K46" s="183"/>
      <c r="L46" s="183"/>
    </row>
  </sheetData>
  <sheetProtection algorithmName="SHA-512" hashValue="2lfjbeeQ5qOPGdPuFGUO5sNpyqhpPo05n85Q5dEBl2szucBUDKkGUZHlPrD9fzQqj9KkH0mDAxM8Z/K0hBUJ/A==" saltValue="RRNG3RepqruRF3UeWkgKaA==" spinCount="100000" sheet="1" objects="1" scenarios="1"/>
  <mergeCells count="83">
    <mergeCell ref="B3:H3"/>
    <mergeCell ref="J3:K5"/>
    <mergeCell ref="E5:H5"/>
    <mergeCell ref="D10:E10"/>
    <mergeCell ref="A1:L1"/>
    <mergeCell ref="B7:K7"/>
    <mergeCell ref="B8:C8"/>
    <mergeCell ref="E8:F8"/>
    <mergeCell ref="I9:K9"/>
    <mergeCell ref="F9:G9"/>
    <mergeCell ref="B9:E9"/>
    <mergeCell ref="B19:C19"/>
    <mergeCell ref="D19:E19"/>
    <mergeCell ref="G19:H19"/>
    <mergeCell ref="B11:C11"/>
    <mergeCell ref="F11:G11"/>
    <mergeCell ref="B13:K13"/>
    <mergeCell ref="B14:H14"/>
    <mergeCell ref="B15:H15"/>
    <mergeCell ref="B16:H16"/>
    <mergeCell ref="B17:H17"/>
    <mergeCell ref="J11:K11"/>
    <mergeCell ref="C12:E12"/>
    <mergeCell ref="F12:H12"/>
    <mergeCell ref="J12:K12"/>
    <mergeCell ref="B18:C18"/>
    <mergeCell ref="D18:H18"/>
    <mergeCell ref="B20:C20"/>
    <mergeCell ref="D20:E20"/>
    <mergeCell ref="B21:C21"/>
    <mergeCell ref="D21:E21"/>
    <mergeCell ref="B22:C22"/>
    <mergeCell ref="D22:E22"/>
    <mergeCell ref="B28:C28"/>
    <mergeCell ref="D28:E28"/>
    <mergeCell ref="B23:C23"/>
    <mergeCell ref="D23:E23"/>
    <mergeCell ref="B24:C24"/>
    <mergeCell ref="D24:E24"/>
    <mergeCell ref="B25:C25"/>
    <mergeCell ref="D25:E25"/>
    <mergeCell ref="B26:C26"/>
    <mergeCell ref="D26:E26"/>
    <mergeCell ref="B27:C27"/>
    <mergeCell ref="D27:E27"/>
    <mergeCell ref="A46:C46"/>
    <mergeCell ref="E46:L46"/>
    <mergeCell ref="I8:K8"/>
    <mergeCell ref="I10:K10"/>
    <mergeCell ref="B10:C10"/>
    <mergeCell ref="G8:H8"/>
    <mergeCell ref="G10:H10"/>
    <mergeCell ref="B38:H38"/>
    <mergeCell ref="B39:C39"/>
    <mergeCell ref="D39:F39"/>
    <mergeCell ref="B41:H41"/>
    <mergeCell ref="B32:C32"/>
    <mergeCell ref="D32:E32"/>
    <mergeCell ref="B33:C33"/>
    <mergeCell ref="D33:E33"/>
    <mergeCell ref="B37:C37"/>
    <mergeCell ref="B42:H42"/>
    <mergeCell ref="B45:C45"/>
    <mergeCell ref="E45:F45"/>
    <mergeCell ref="J45:K45"/>
    <mergeCell ref="D37:E37"/>
    <mergeCell ref="B43:H43"/>
    <mergeCell ref="B44:C44"/>
    <mergeCell ref="D44:E44"/>
    <mergeCell ref="B40:C40"/>
    <mergeCell ref="D40:E40"/>
    <mergeCell ref="B29:C29"/>
    <mergeCell ref="D29:E29"/>
    <mergeCell ref="B30:C30"/>
    <mergeCell ref="D30:E30"/>
    <mergeCell ref="B31:C31"/>
    <mergeCell ref="D31:E31"/>
    <mergeCell ref="B34:C34"/>
    <mergeCell ref="B35:C35"/>
    <mergeCell ref="B36:C36"/>
    <mergeCell ref="D34:E34"/>
    <mergeCell ref="D35:E35"/>
    <mergeCell ref="D36:E36"/>
  </mergeCells>
  <printOptions horizontalCentered="1" verticalCentered="1"/>
  <pageMargins left="0.31496062992126" right="0.31496062992126" top="0.15748031496063" bottom="0.15748031496063" header="0.31496062992126" footer="0.31496062992126"/>
  <pageSetup paperSize="9" orientation="portrait" r:id="rId1"/>
  <ignoredErrors>
    <ignoredError sqref="K44 C5" unlockedFormula="1"/>
  </ignoredError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A00-000000000000}">
          <x14:formula1>
            <xm:f>خصوصی!$B$4:$B$14</xm:f>
          </x14:formula1>
          <xm:sqref>B20:B37 C20:C33 C37</xm:sqref>
        </x14:dataValidation>
        <x14:dataValidation type="list" allowBlank="1" showInputMessage="1" showErrorMessage="1" xr:uid="{00000000-0002-0000-0A00-000001000000}">
          <x14:formula1>
            <xm:f>سیرکولاتور!$C$3:$N$3</xm:f>
          </x14:formula1>
          <xm:sqref>D20:D37 E20:E33 E37 D40:E40</xm:sqref>
        </x14:dataValidation>
        <x14:dataValidation type="list" allowBlank="1" showInputMessage="1" showErrorMessage="1" xr:uid="{00000000-0002-0000-0A00-000002000000}">
          <x14:formula1>
            <xm:f>سیرکولاتور!$O$1:$O$2</xm:f>
          </x14:formula1>
          <xm:sqref>E8:F8</xm:sqref>
        </x14:dataValidation>
        <x14:dataValidation type="list" allowBlank="1" showInputMessage="1" showErrorMessage="1" xr:uid="{00000000-0002-0000-0A00-000003000000}">
          <x14:formula1>
            <xm:f>خصوصی!$P$1:$P$2</xm:f>
          </x14:formula1>
          <xm:sqref>D18:H18</xm:sqref>
        </x14:dataValidation>
        <x14:dataValidation type="list" allowBlank="1" showInputMessage="1" showErrorMessage="1" xr:uid="{00000000-0002-0000-0A00-000004000000}">
          <x14:formula1>
            <xm:f>سیرکولاتور!$R$1:$R$2</xm:f>
          </x14:formula1>
          <xm:sqref>F9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R47"/>
  <sheetViews>
    <sheetView rightToLeft="1" topLeftCell="A7" zoomScale="140" zoomScaleNormal="140" workbookViewId="0">
      <selection activeCell="E48" sqref="E48"/>
    </sheetView>
  </sheetViews>
  <sheetFormatPr defaultColWidth="9" defaultRowHeight="18" x14ac:dyDescent="0.25"/>
  <cols>
    <col min="1" max="1" width="2.7109375" style="2" customWidth="1"/>
    <col min="2" max="2" width="5.7109375" style="2" customWidth="1"/>
    <col min="3" max="3" width="35.7109375" style="2" customWidth="1"/>
    <col min="4" max="11" width="5.7109375" style="2" customWidth="1"/>
    <col min="12" max="12" width="2.7109375" style="2" customWidth="1"/>
    <col min="13" max="18" width="4.7109375" style="2" customWidth="1"/>
    <col min="19" max="16384" width="9" style="2"/>
  </cols>
  <sheetData>
    <row r="1" spans="1:18" x14ac:dyDescent="0.25">
      <c r="A1" s="148" t="s">
        <v>64</v>
      </c>
      <c r="B1" s="148"/>
      <c r="C1" s="148"/>
      <c r="D1" s="148"/>
      <c r="E1" s="148"/>
      <c r="F1" s="148"/>
      <c r="G1" s="148"/>
      <c r="H1" s="148"/>
      <c r="I1" s="148"/>
      <c r="J1" s="148"/>
      <c r="K1" s="148"/>
      <c r="L1" s="148"/>
    </row>
    <row r="2" spans="1:18" ht="15" customHeight="1" thickBot="1" x14ac:dyDescent="0.3">
      <c r="A2" s="9"/>
      <c r="B2" s="9"/>
      <c r="C2" s="9"/>
      <c r="D2" s="9"/>
      <c r="E2" s="9"/>
      <c r="F2" s="9"/>
      <c r="G2" s="9"/>
      <c r="H2" s="9"/>
      <c r="I2" s="9"/>
      <c r="J2" s="9"/>
      <c r="K2" s="9"/>
      <c r="L2" s="9"/>
    </row>
    <row r="3" spans="1:18" ht="20.100000000000001" customHeight="1" thickBot="1" x14ac:dyDescent="0.3">
      <c r="A3" s="9"/>
      <c r="B3" s="153" t="s">
        <v>151</v>
      </c>
      <c r="C3" s="154"/>
      <c r="D3" s="154"/>
      <c r="E3" s="154"/>
      <c r="F3" s="154"/>
      <c r="G3" s="154"/>
      <c r="H3" s="155"/>
      <c r="I3" s="78"/>
      <c r="J3" s="156"/>
      <c r="K3" s="157"/>
      <c r="L3" s="9"/>
    </row>
    <row r="4" spans="1:18" ht="15" customHeight="1" thickBot="1" x14ac:dyDescent="0.3">
      <c r="A4" s="9"/>
      <c r="B4" s="11"/>
      <c r="C4" s="11"/>
      <c r="D4" s="11"/>
      <c r="E4" s="11"/>
      <c r="F4" s="11"/>
      <c r="G4" s="11"/>
      <c r="H4" s="11"/>
      <c r="I4" s="11"/>
      <c r="J4" s="158"/>
      <c r="K4" s="159"/>
      <c r="L4" s="9"/>
    </row>
    <row r="5" spans="1:18" ht="18" customHeight="1" thickBot="1" x14ac:dyDescent="0.3">
      <c r="A5" s="9"/>
      <c r="B5" s="74" t="s">
        <v>65</v>
      </c>
      <c r="C5" s="79" t="str">
        <f>کاور!C43</f>
        <v>پروژه نمونه</v>
      </c>
      <c r="D5" s="75" t="s">
        <v>49</v>
      </c>
      <c r="E5" s="162">
        <f>کاور!G43</f>
        <v>46199</v>
      </c>
      <c r="F5" s="162"/>
      <c r="G5" s="162"/>
      <c r="H5" s="163"/>
      <c r="I5" s="80"/>
      <c r="J5" s="160"/>
      <c r="K5" s="161"/>
      <c r="L5" s="10"/>
      <c r="M5" s="1"/>
      <c r="N5" s="1"/>
      <c r="O5" s="1"/>
      <c r="P5" s="1"/>
      <c r="Q5" s="1"/>
      <c r="R5" s="1"/>
    </row>
    <row r="6" spans="1:18" ht="15" customHeight="1" thickBot="1" x14ac:dyDescent="0.3">
      <c r="A6" s="9"/>
      <c r="B6" s="9"/>
      <c r="C6" s="9"/>
      <c r="D6" s="9"/>
      <c r="E6" s="9"/>
      <c r="F6" s="9"/>
      <c r="G6" s="9"/>
      <c r="H6" s="9"/>
      <c r="I6" s="9"/>
      <c r="J6" s="9"/>
      <c r="K6" s="9"/>
      <c r="L6" s="9"/>
    </row>
    <row r="7" spans="1:18" ht="18" customHeight="1" x14ac:dyDescent="0.25">
      <c r="A7" s="9"/>
      <c r="B7" s="149" t="s">
        <v>240</v>
      </c>
      <c r="C7" s="150"/>
      <c r="D7" s="150"/>
      <c r="E7" s="150"/>
      <c r="F7" s="150"/>
      <c r="G7" s="150"/>
      <c r="H7" s="150"/>
      <c r="I7" s="150"/>
      <c r="J7" s="150"/>
      <c r="K7" s="151"/>
      <c r="L7" s="9"/>
    </row>
    <row r="8" spans="1:18" ht="18" customHeight="1" x14ac:dyDescent="0.25">
      <c r="A8" s="9"/>
      <c r="B8" s="106" t="s">
        <v>123</v>
      </c>
      <c r="C8" s="114"/>
      <c r="D8" s="143" t="s">
        <v>241</v>
      </c>
      <c r="E8" s="135"/>
      <c r="F8" s="227">
        <f>'آبگرم مصرفی'!H24</f>
        <v>0.4</v>
      </c>
      <c r="G8" s="169"/>
      <c r="H8" s="143" t="s">
        <v>242</v>
      </c>
      <c r="I8" s="135"/>
      <c r="J8" s="135"/>
      <c r="K8" s="14">
        <f>'آبگرم مصرفی'!H27</f>
        <v>1</v>
      </c>
      <c r="L8" s="9"/>
    </row>
    <row r="9" spans="1:18" ht="18" customHeight="1" x14ac:dyDescent="0.25">
      <c r="A9" s="9"/>
      <c r="B9" s="222" t="s">
        <v>35</v>
      </c>
      <c r="C9" s="223"/>
      <c r="D9" s="6" t="s">
        <v>7</v>
      </c>
      <c r="E9" s="248" t="s">
        <v>215</v>
      </c>
      <c r="F9" s="248"/>
      <c r="G9" s="248"/>
      <c r="H9" s="248" t="s">
        <v>249</v>
      </c>
      <c r="I9" s="248"/>
      <c r="J9" s="248"/>
      <c r="K9" s="249"/>
      <c r="L9" s="9"/>
    </row>
    <row r="10" spans="1:18" ht="18" customHeight="1" x14ac:dyDescent="0.25">
      <c r="A10" s="9"/>
      <c r="B10" s="254" t="s">
        <v>224</v>
      </c>
      <c r="C10" s="255"/>
      <c r="D10" s="17"/>
      <c r="E10" s="82" t="s">
        <v>157</v>
      </c>
      <c r="F10" s="135">
        <f>'آبگرم مصرفی'!L10</f>
        <v>0</v>
      </c>
      <c r="G10" s="227"/>
      <c r="H10" s="143" t="s">
        <v>157</v>
      </c>
      <c r="I10" s="135"/>
      <c r="J10" s="250">
        <f>F10*D10</f>
        <v>0</v>
      </c>
      <c r="K10" s="251"/>
      <c r="L10" s="9"/>
    </row>
    <row r="11" spans="1:18" ht="18" customHeight="1" x14ac:dyDescent="0.25">
      <c r="A11" s="9"/>
      <c r="B11" s="254" t="s">
        <v>223</v>
      </c>
      <c r="C11" s="255"/>
      <c r="D11" s="17"/>
      <c r="E11" s="82" t="s">
        <v>157</v>
      </c>
      <c r="F11" s="135">
        <f>'آبگرم مصرفی'!L11</f>
        <v>0</v>
      </c>
      <c r="G11" s="227"/>
      <c r="H11" s="143" t="s">
        <v>157</v>
      </c>
      <c r="I11" s="135"/>
      <c r="J11" s="250">
        <f t="shared" ref="J11:J19" si="0">F11*D11</f>
        <v>0</v>
      </c>
      <c r="K11" s="251"/>
      <c r="L11" s="9"/>
    </row>
    <row r="12" spans="1:18" ht="18" customHeight="1" x14ac:dyDescent="0.25">
      <c r="A12" s="9"/>
      <c r="B12" s="254" t="s">
        <v>222</v>
      </c>
      <c r="C12" s="255"/>
      <c r="D12" s="17"/>
      <c r="E12" s="82" t="s">
        <v>157</v>
      </c>
      <c r="F12" s="135">
        <f>'آبگرم مصرفی'!L12</f>
        <v>0</v>
      </c>
      <c r="G12" s="227"/>
      <c r="H12" s="143" t="s">
        <v>157</v>
      </c>
      <c r="I12" s="135"/>
      <c r="J12" s="250">
        <f t="shared" si="0"/>
        <v>0</v>
      </c>
      <c r="K12" s="251"/>
      <c r="L12" s="9"/>
    </row>
    <row r="13" spans="1:18" ht="18" customHeight="1" x14ac:dyDescent="0.25">
      <c r="A13" s="9"/>
      <c r="B13" s="254" t="s">
        <v>59</v>
      </c>
      <c r="C13" s="255"/>
      <c r="D13" s="17"/>
      <c r="E13" s="82" t="s">
        <v>157</v>
      </c>
      <c r="F13" s="135">
        <f>'آبگرم مصرفی'!L13</f>
        <v>0</v>
      </c>
      <c r="G13" s="227"/>
      <c r="H13" s="143" t="s">
        <v>157</v>
      </c>
      <c r="I13" s="135"/>
      <c r="J13" s="250">
        <f t="shared" si="0"/>
        <v>0</v>
      </c>
      <c r="K13" s="251"/>
      <c r="L13" s="9"/>
    </row>
    <row r="14" spans="1:18" ht="18" customHeight="1" x14ac:dyDescent="0.25">
      <c r="A14" s="9"/>
      <c r="B14" s="254" t="s">
        <v>1</v>
      </c>
      <c r="C14" s="255"/>
      <c r="D14" s="17"/>
      <c r="E14" s="82" t="s">
        <v>157</v>
      </c>
      <c r="F14" s="135">
        <f>'آبگرم مصرفی'!L14</f>
        <v>0</v>
      </c>
      <c r="G14" s="227"/>
      <c r="H14" s="143" t="s">
        <v>157</v>
      </c>
      <c r="I14" s="135"/>
      <c r="J14" s="250">
        <f t="shared" si="0"/>
        <v>0</v>
      </c>
      <c r="K14" s="251"/>
      <c r="L14" s="9"/>
    </row>
    <row r="15" spans="1:18" ht="18" customHeight="1" x14ac:dyDescent="0.25">
      <c r="A15" s="9"/>
      <c r="B15" s="254" t="s">
        <v>221</v>
      </c>
      <c r="C15" s="255"/>
      <c r="D15" s="17"/>
      <c r="E15" s="82" t="s">
        <v>157</v>
      </c>
      <c r="F15" s="135">
        <f>'آبگرم مصرفی'!L15</f>
        <v>0</v>
      </c>
      <c r="G15" s="227"/>
      <c r="H15" s="143" t="s">
        <v>157</v>
      </c>
      <c r="I15" s="135"/>
      <c r="J15" s="250">
        <f t="shared" si="0"/>
        <v>0</v>
      </c>
      <c r="K15" s="251"/>
      <c r="L15" s="9"/>
    </row>
    <row r="16" spans="1:18" ht="18" customHeight="1" x14ac:dyDescent="0.25">
      <c r="A16" s="9"/>
      <c r="B16" s="254" t="s">
        <v>2</v>
      </c>
      <c r="C16" s="255"/>
      <c r="D16" s="17"/>
      <c r="E16" s="82" t="s">
        <v>157</v>
      </c>
      <c r="F16" s="135">
        <f>'آبگرم مصرفی'!L16</f>
        <v>0</v>
      </c>
      <c r="G16" s="227"/>
      <c r="H16" s="143" t="s">
        <v>157</v>
      </c>
      <c r="I16" s="135"/>
      <c r="J16" s="250">
        <f t="shared" si="0"/>
        <v>0</v>
      </c>
      <c r="K16" s="251"/>
      <c r="L16" s="9"/>
    </row>
    <row r="17" spans="1:12" ht="18" customHeight="1" x14ac:dyDescent="0.25">
      <c r="A17" s="9"/>
      <c r="B17" s="254" t="s">
        <v>220</v>
      </c>
      <c r="C17" s="255"/>
      <c r="D17" s="17"/>
      <c r="E17" s="82" t="s">
        <v>157</v>
      </c>
      <c r="F17" s="135">
        <f>'آبگرم مصرفی'!L17</f>
        <v>0</v>
      </c>
      <c r="G17" s="227"/>
      <c r="H17" s="143" t="s">
        <v>157</v>
      </c>
      <c r="I17" s="135"/>
      <c r="J17" s="250">
        <f t="shared" si="0"/>
        <v>0</v>
      </c>
      <c r="K17" s="251"/>
      <c r="L17" s="9"/>
    </row>
    <row r="18" spans="1:12" ht="18" customHeight="1" x14ac:dyDescent="0.25">
      <c r="A18" s="9"/>
      <c r="B18" s="254" t="s">
        <v>219</v>
      </c>
      <c r="C18" s="255"/>
      <c r="D18" s="17"/>
      <c r="E18" s="82" t="s">
        <v>157</v>
      </c>
      <c r="F18" s="135">
        <f>'آبگرم مصرفی'!L18</f>
        <v>0</v>
      </c>
      <c r="G18" s="227"/>
      <c r="H18" s="143" t="s">
        <v>157</v>
      </c>
      <c r="I18" s="135"/>
      <c r="J18" s="250">
        <f t="shared" si="0"/>
        <v>0</v>
      </c>
      <c r="K18" s="251"/>
      <c r="L18" s="9"/>
    </row>
    <row r="19" spans="1:12" ht="18" customHeight="1" x14ac:dyDescent="0.25">
      <c r="A19" s="9"/>
      <c r="B19" s="105" t="s">
        <v>218</v>
      </c>
      <c r="C19" s="22"/>
      <c r="D19" s="17"/>
      <c r="E19" s="82" t="s">
        <v>157</v>
      </c>
      <c r="F19" s="135">
        <f>'آبگرم مصرفی'!L19</f>
        <v>0</v>
      </c>
      <c r="G19" s="227"/>
      <c r="H19" s="143" t="s">
        <v>157</v>
      </c>
      <c r="I19" s="135"/>
      <c r="J19" s="250">
        <f t="shared" si="0"/>
        <v>0</v>
      </c>
      <c r="K19" s="251"/>
      <c r="L19" s="9"/>
    </row>
    <row r="20" spans="1:12" ht="18" customHeight="1" x14ac:dyDescent="0.25">
      <c r="A20" s="9"/>
      <c r="B20" s="252" t="s">
        <v>243</v>
      </c>
      <c r="C20" s="253"/>
      <c r="D20" s="81" t="s">
        <v>157</v>
      </c>
      <c r="E20" s="135">
        <f>SUM(J10:K19)*F8</f>
        <v>0</v>
      </c>
      <c r="F20" s="135"/>
      <c r="G20" s="135" t="s">
        <v>244</v>
      </c>
      <c r="H20" s="135"/>
      <c r="I20" s="135"/>
      <c r="J20" s="83" t="s">
        <v>245</v>
      </c>
      <c r="K20" s="109">
        <f>E20*K8</f>
        <v>0</v>
      </c>
      <c r="L20" s="9"/>
    </row>
    <row r="21" spans="1:12" ht="18" customHeight="1" x14ac:dyDescent="0.25">
      <c r="A21" s="9"/>
      <c r="B21" s="137" t="s">
        <v>252</v>
      </c>
      <c r="C21" s="138"/>
      <c r="D21" s="138"/>
      <c r="E21" s="31" t="s">
        <v>246</v>
      </c>
      <c r="F21" s="36">
        <v>60</v>
      </c>
      <c r="G21" s="31" t="s">
        <v>247</v>
      </c>
      <c r="H21" s="115">
        <v>140</v>
      </c>
      <c r="I21" s="110" t="s">
        <v>135</v>
      </c>
      <c r="J21" s="246">
        <f>E20*8.33*(H21-F21)</f>
        <v>0</v>
      </c>
      <c r="K21" s="247"/>
      <c r="L21" s="9"/>
    </row>
    <row r="22" spans="1:12" ht="20.100000000000001" customHeight="1" thickBot="1" x14ac:dyDescent="0.3">
      <c r="A22" s="9"/>
      <c r="B22" s="170" t="s">
        <v>248</v>
      </c>
      <c r="C22" s="171"/>
      <c r="D22" s="27" t="s">
        <v>51</v>
      </c>
      <c r="E22" s="29">
        <f>J22*3.78</f>
        <v>0</v>
      </c>
      <c r="F22" s="172" t="s">
        <v>197</v>
      </c>
      <c r="G22" s="173"/>
      <c r="H22" s="29">
        <f>J22*0.227</f>
        <v>0</v>
      </c>
      <c r="I22" s="111" t="s">
        <v>0</v>
      </c>
      <c r="J22" s="164">
        <f>J21/10000</f>
        <v>0</v>
      </c>
      <c r="K22" s="165"/>
      <c r="L22" s="9"/>
    </row>
    <row r="23" spans="1:12" ht="15" customHeight="1" thickBot="1" x14ac:dyDescent="0.3">
      <c r="A23" s="9"/>
      <c r="B23" s="9"/>
      <c r="C23" s="166"/>
      <c r="D23" s="166"/>
      <c r="E23" s="166"/>
      <c r="F23" s="166"/>
      <c r="G23" s="166"/>
      <c r="H23" s="166"/>
      <c r="I23" s="9"/>
      <c r="J23" s="166"/>
      <c r="K23" s="166"/>
      <c r="L23" s="9"/>
    </row>
    <row r="24" spans="1:12" ht="18" customHeight="1" x14ac:dyDescent="0.25">
      <c r="A24" s="9"/>
      <c r="B24" s="149" t="s">
        <v>178</v>
      </c>
      <c r="C24" s="150"/>
      <c r="D24" s="150"/>
      <c r="E24" s="150"/>
      <c r="F24" s="150"/>
      <c r="G24" s="150"/>
      <c r="H24" s="150"/>
      <c r="I24" s="150"/>
      <c r="J24" s="150"/>
      <c r="K24" s="151"/>
      <c r="L24" s="9"/>
    </row>
    <row r="25" spans="1:12" ht="18" customHeight="1" x14ac:dyDescent="0.25">
      <c r="A25" s="9"/>
      <c r="B25" s="167" t="s">
        <v>171</v>
      </c>
      <c r="C25" s="168"/>
      <c r="D25" s="168"/>
      <c r="E25" s="168"/>
      <c r="F25" s="168"/>
      <c r="G25" s="168"/>
      <c r="H25" s="168"/>
      <c r="I25" s="7" t="s">
        <v>10</v>
      </c>
      <c r="J25" s="13" t="s">
        <v>5</v>
      </c>
      <c r="K25" s="18"/>
      <c r="L25" s="9"/>
    </row>
    <row r="26" spans="1:12" ht="18" customHeight="1" x14ac:dyDescent="0.25">
      <c r="A26" s="9"/>
      <c r="B26" s="167" t="s">
        <v>172</v>
      </c>
      <c r="C26" s="168"/>
      <c r="D26" s="168"/>
      <c r="E26" s="168"/>
      <c r="F26" s="168"/>
      <c r="G26" s="168"/>
      <c r="H26" s="168"/>
      <c r="I26" s="7" t="s">
        <v>10</v>
      </c>
      <c r="J26" s="13" t="s">
        <v>5</v>
      </c>
      <c r="K26" s="14">
        <f>K25*2</f>
        <v>0</v>
      </c>
      <c r="L26" s="9"/>
    </row>
    <row r="27" spans="1:12" ht="18" customHeight="1" x14ac:dyDescent="0.25">
      <c r="A27" s="9"/>
      <c r="B27" s="137" t="s">
        <v>182</v>
      </c>
      <c r="C27" s="138"/>
      <c r="D27" s="174" t="s">
        <v>183</v>
      </c>
      <c r="E27" s="144"/>
      <c r="F27" s="144"/>
      <c r="G27" s="144"/>
      <c r="H27" s="175"/>
      <c r="I27" s="7" t="s">
        <v>10</v>
      </c>
      <c r="J27" s="13" t="s">
        <v>5</v>
      </c>
      <c r="K27" s="14">
        <f>IF(D27=سیرکولاتور!P1,0.5*K26,0)</f>
        <v>0</v>
      </c>
      <c r="L27" s="9"/>
    </row>
    <row r="28" spans="1:12" ht="18" customHeight="1" x14ac:dyDescent="0.25">
      <c r="A28" s="9"/>
      <c r="B28" s="167" t="s">
        <v>28</v>
      </c>
      <c r="C28" s="168"/>
      <c r="D28" s="169" t="s">
        <v>72</v>
      </c>
      <c r="E28" s="169"/>
      <c r="F28" s="8" t="s">
        <v>7</v>
      </c>
      <c r="G28" s="169" t="s">
        <v>9</v>
      </c>
      <c r="H28" s="169"/>
      <c r="I28" s="8"/>
      <c r="J28" s="13"/>
      <c r="K28" s="14"/>
      <c r="L28" s="9"/>
    </row>
    <row r="29" spans="1:12" ht="18" customHeight="1" x14ac:dyDescent="0.25">
      <c r="A29" s="9"/>
      <c r="B29" s="176"/>
      <c r="C29" s="177"/>
      <c r="D29" s="177"/>
      <c r="E29" s="177"/>
      <c r="F29" s="17"/>
      <c r="G29" s="13" t="s">
        <v>5</v>
      </c>
      <c r="H29" s="16">
        <f>سیرکولاتور!I17</f>
        <v>0</v>
      </c>
      <c r="I29" s="7" t="s">
        <v>10</v>
      </c>
      <c r="J29" s="13" t="s">
        <v>5</v>
      </c>
      <c r="K29" s="14">
        <f>H29*F29</f>
        <v>0</v>
      </c>
      <c r="L29" s="9"/>
    </row>
    <row r="30" spans="1:12" ht="18" customHeight="1" x14ac:dyDescent="0.25">
      <c r="A30" s="9"/>
      <c r="B30" s="176"/>
      <c r="C30" s="177"/>
      <c r="D30" s="177"/>
      <c r="E30" s="177"/>
      <c r="F30" s="17"/>
      <c r="G30" s="13" t="s">
        <v>5</v>
      </c>
      <c r="H30" s="16">
        <f>سیرکولاتور!I18</f>
        <v>0</v>
      </c>
      <c r="I30" s="7" t="s">
        <v>10</v>
      </c>
      <c r="J30" s="13" t="s">
        <v>5</v>
      </c>
      <c r="K30" s="14">
        <f t="shared" ref="K30:K38" si="1">H30*F30</f>
        <v>0</v>
      </c>
      <c r="L30" s="9"/>
    </row>
    <row r="31" spans="1:12" ht="18" customHeight="1" x14ac:dyDescent="0.25">
      <c r="A31" s="9"/>
      <c r="B31" s="176"/>
      <c r="C31" s="177"/>
      <c r="D31" s="177"/>
      <c r="E31" s="177"/>
      <c r="F31" s="17"/>
      <c r="G31" s="13" t="s">
        <v>5</v>
      </c>
      <c r="H31" s="16">
        <f>سیرکولاتور!I19</f>
        <v>0</v>
      </c>
      <c r="I31" s="7" t="s">
        <v>10</v>
      </c>
      <c r="J31" s="13" t="s">
        <v>5</v>
      </c>
      <c r="K31" s="14">
        <f t="shared" si="1"/>
        <v>0</v>
      </c>
      <c r="L31" s="9"/>
    </row>
    <row r="32" spans="1:12" ht="18" customHeight="1" x14ac:dyDescent="0.25">
      <c r="A32" s="9"/>
      <c r="B32" s="176"/>
      <c r="C32" s="177"/>
      <c r="D32" s="177"/>
      <c r="E32" s="177"/>
      <c r="F32" s="17"/>
      <c r="G32" s="13" t="s">
        <v>5</v>
      </c>
      <c r="H32" s="16">
        <f>سیرکولاتور!I20</f>
        <v>0</v>
      </c>
      <c r="I32" s="7" t="s">
        <v>10</v>
      </c>
      <c r="J32" s="13" t="s">
        <v>5</v>
      </c>
      <c r="K32" s="14">
        <f t="shared" si="1"/>
        <v>0</v>
      </c>
      <c r="L32" s="9"/>
    </row>
    <row r="33" spans="1:12" ht="18" customHeight="1" x14ac:dyDescent="0.25">
      <c r="A33" s="9"/>
      <c r="B33" s="176"/>
      <c r="C33" s="177"/>
      <c r="D33" s="177"/>
      <c r="E33" s="177"/>
      <c r="F33" s="17"/>
      <c r="G33" s="13" t="s">
        <v>5</v>
      </c>
      <c r="H33" s="16">
        <f>سیرکولاتور!I21</f>
        <v>0</v>
      </c>
      <c r="I33" s="7" t="s">
        <v>10</v>
      </c>
      <c r="J33" s="13" t="s">
        <v>5</v>
      </c>
      <c r="K33" s="14">
        <f t="shared" si="1"/>
        <v>0</v>
      </c>
      <c r="L33" s="9"/>
    </row>
    <row r="34" spans="1:12" ht="18" customHeight="1" x14ac:dyDescent="0.25">
      <c r="A34" s="9"/>
      <c r="B34" s="176"/>
      <c r="C34" s="177"/>
      <c r="D34" s="177"/>
      <c r="E34" s="177"/>
      <c r="F34" s="17"/>
      <c r="G34" s="13" t="s">
        <v>5</v>
      </c>
      <c r="H34" s="16">
        <f>سیرکولاتور!I22</f>
        <v>0</v>
      </c>
      <c r="I34" s="7" t="s">
        <v>10</v>
      </c>
      <c r="J34" s="13" t="s">
        <v>5</v>
      </c>
      <c r="K34" s="14">
        <f t="shared" si="1"/>
        <v>0</v>
      </c>
      <c r="L34" s="9"/>
    </row>
    <row r="35" spans="1:12" ht="18" customHeight="1" x14ac:dyDescent="0.25">
      <c r="A35" s="9"/>
      <c r="B35" s="240"/>
      <c r="C35" s="175"/>
      <c r="D35" s="174"/>
      <c r="E35" s="175"/>
      <c r="F35" s="17"/>
      <c r="G35" s="13" t="s">
        <v>5</v>
      </c>
      <c r="H35" s="16">
        <f>سیرکولاتور!I23</f>
        <v>0</v>
      </c>
      <c r="I35" s="7" t="s">
        <v>10</v>
      </c>
      <c r="J35" s="13" t="s">
        <v>5</v>
      </c>
      <c r="K35" s="14">
        <f t="shared" si="1"/>
        <v>0</v>
      </c>
      <c r="L35" s="9"/>
    </row>
    <row r="36" spans="1:12" ht="18" customHeight="1" x14ac:dyDescent="0.25">
      <c r="A36" s="9"/>
      <c r="B36" s="176"/>
      <c r="C36" s="177"/>
      <c r="D36" s="177"/>
      <c r="E36" s="177"/>
      <c r="F36" s="17"/>
      <c r="G36" s="13" t="s">
        <v>5</v>
      </c>
      <c r="H36" s="16">
        <f>سیرکولاتور!I24</f>
        <v>0</v>
      </c>
      <c r="I36" s="7" t="s">
        <v>10</v>
      </c>
      <c r="J36" s="13" t="s">
        <v>5</v>
      </c>
      <c r="K36" s="14">
        <f t="shared" si="1"/>
        <v>0</v>
      </c>
      <c r="L36" s="9"/>
    </row>
    <row r="37" spans="1:12" ht="18" customHeight="1" x14ac:dyDescent="0.25">
      <c r="A37" s="9"/>
      <c r="B37" s="176"/>
      <c r="C37" s="177"/>
      <c r="D37" s="177"/>
      <c r="E37" s="177"/>
      <c r="F37" s="17"/>
      <c r="G37" s="13" t="s">
        <v>5</v>
      </c>
      <c r="H37" s="16">
        <f>سیرکولاتور!I25</f>
        <v>0</v>
      </c>
      <c r="I37" s="7" t="s">
        <v>10</v>
      </c>
      <c r="J37" s="13" t="s">
        <v>5</v>
      </c>
      <c r="K37" s="14">
        <f t="shared" si="1"/>
        <v>0</v>
      </c>
      <c r="L37" s="9"/>
    </row>
    <row r="38" spans="1:12" ht="18" customHeight="1" x14ac:dyDescent="0.25">
      <c r="A38" s="9"/>
      <c r="B38" s="176"/>
      <c r="C38" s="177"/>
      <c r="D38" s="177"/>
      <c r="E38" s="177"/>
      <c r="F38" s="17"/>
      <c r="G38" s="13" t="s">
        <v>5</v>
      </c>
      <c r="H38" s="16">
        <f>سیرکولاتور!I26</f>
        <v>0</v>
      </c>
      <c r="I38" s="7" t="s">
        <v>10</v>
      </c>
      <c r="J38" s="13" t="s">
        <v>5</v>
      </c>
      <c r="K38" s="14">
        <f t="shared" si="1"/>
        <v>0</v>
      </c>
      <c r="L38" s="9"/>
    </row>
    <row r="39" spans="1:12" ht="18" customHeight="1" x14ac:dyDescent="0.25">
      <c r="A39" s="9"/>
      <c r="B39" s="167" t="s">
        <v>52</v>
      </c>
      <c r="C39" s="168"/>
      <c r="D39" s="168"/>
      <c r="E39" s="168"/>
      <c r="F39" s="168"/>
      <c r="G39" s="168"/>
      <c r="H39" s="168"/>
      <c r="I39" s="7" t="s">
        <v>10</v>
      </c>
      <c r="J39" s="13" t="s">
        <v>5</v>
      </c>
      <c r="K39" s="15">
        <f>IF(K27=0,SUM(K29:K38)+K26,K26+K27)</f>
        <v>0</v>
      </c>
      <c r="L39" s="9"/>
    </row>
    <row r="40" spans="1:12" ht="18" customHeight="1" x14ac:dyDescent="0.25">
      <c r="A40" s="9"/>
      <c r="B40" s="167" t="s">
        <v>32</v>
      </c>
      <c r="C40" s="178"/>
      <c r="D40" s="179" t="s">
        <v>33</v>
      </c>
      <c r="E40" s="180"/>
      <c r="F40" s="229"/>
      <c r="G40" s="36">
        <v>2.5</v>
      </c>
      <c r="H40" s="32" t="s">
        <v>34</v>
      </c>
      <c r="I40" s="7" t="s">
        <v>10</v>
      </c>
      <c r="J40" s="13" t="s">
        <v>5</v>
      </c>
      <c r="K40" s="25">
        <f>G40*(K39/100)</f>
        <v>0</v>
      </c>
      <c r="L40" s="9"/>
    </row>
    <row r="41" spans="1:12" ht="18" customHeight="1" x14ac:dyDescent="0.25">
      <c r="A41" s="9"/>
      <c r="B41" s="137" t="s">
        <v>268</v>
      </c>
      <c r="C41" s="138"/>
      <c r="D41" s="144"/>
      <c r="E41" s="144"/>
      <c r="F41" s="119" t="s">
        <v>194</v>
      </c>
      <c r="G41" s="118" t="s">
        <v>0</v>
      </c>
      <c r="H41" s="120"/>
      <c r="I41" s="7" t="s">
        <v>10</v>
      </c>
      <c r="J41" s="13" t="s">
        <v>5</v>
      </c>
      <c r="K41" s="25">
        <f>IF(OR(H41=0,D41=0),0,0.703*(H41/سیرکولاتور!D36)^2)</f>
        <v>0</v>
      </c>
      <c r="L41" s="9"/>
    </row>
    <row r="42" spans="1:12" ht="18" customHeight="1" x14ac:dyDescent="0.25">
      <c r="A42" s="9"/>
      <c r="B42" s="167" t="s">
        <v>156</v>
      </c>
      <c r="C42" s="168"/>
      <c r="D42" s="168"/>
      <c r="E42" s="168"/>
      <c r="F42" s="168"/>
      <c r="G42" s="168"/>
      <c r="H42" s="168"/>
      <c r="I42" s="7" t="s">
        <v>10</v>
      </c>
      <c r="J42" s="13" t="s">
        <v>5</v>
      </c>
      <c r="K42" s="37"/>
      <c r="L42" s="9"/>
    </row>
    <row r="43" spans="1:12" ht="18" customHeight="1" x14ac:dyDescent="0.25">
      <c r="A43" s="9"/>
      <c r="B43" s="137" t="s">
        <v>137</v>
      </c>
      <c r="C43" s="138"/>
      <c r="D43" s="138"/>
      <c r="E43" s="138"/>
      <c r="F43" s="138"/>
      <c r="G43" s="138"/>
      <c r="H43" s="241"/>
      <c r="I43" s="7" t="s">
        <v>10</v>
      </c>
      <c r="J43" s="13" t="s">
        <v>5</v>
      </c>
      <c r="K43" s="37"/>
      <c r="L43" s="9"/>
    </row>
    <row r="44" spans="1:12" ht="18" customHeight="1" x14ac:dyDescent="0.25">
      <c r="A44" s="9"/>
      <c r="B44" s="137" t="s">
        <v>155</v>
      </c>
      <c r="C44" s="138"/>
      <c r="D44" s="138"/>
      <c r="E44" s="138"/>
      <c r="F44" s="138"/>
      <c r="G44" s="138"/>
      <c r="H44" s="241"/>
      <c r="I44" s="7" t="s">
        <v>10</v>
      </c>
      <c r="J44" s="13" t="s">
        <v>5</v>
      </c>
      <c r="K44" s="128">
        <f>SUM(K40:K43)</f>
        <v>0</v>
      </c>
      <c r="L44" s="9"/>
    </row>
    <row r="45" spans="1:12" ht="18" customHeight="1" x14ac:dyDescent="0.25">
      <c r="A45" s="9"/>
      <c r="B45" s="137" t="s">
        <v>154</v>
      </c>
      <c r="C45" s="138"/>
      <c r="D45" s="143" t="s">
        <v>136</v>
      </c>
      <c r="E45" s="227"/>
      <c r="F45" s="17"/>
      <c r="G45" s="51"/>
      <c r="H45" s="51"/>
      <c r="I45" s="7" t="s">
        <v>10</v>
      </c>
      <c r="J45" s="13" t="s">
        <v>5</v>
      </c>
      <c r="K45" s="52">
        <f>K44+(K44*F45/100)</f>
        <v>0</v>
      </c>
      <c r="L45" s="9"/>
    </row>
    <row r="46" spans="1:12" ht="20.100000000000001" customHeight="1" thickBot="1" x14ac:dyDescent="0.3">
      <c r="A46" s="9"/>
      <c r="B46" s="170" t="s">
        <v>67</v>
      </c>
      <c r="C46" s="171"/>
      <c r="D46" s="26" t="s">
        <v>63</v>
      </c>
      <c r="E46" s="184">
        <f>J46*3.28</f>
        <v>0</v>
      </c>
      <c r="F46" s="185"/>
      <c r="G46" s="27" t="s">
        <v>62</v>
      </c>
      <c r="H46" s="28">
        <f>J46*1.42</f>
        <v>0</v>
      </c>
      <c r="I46" s="26" t="s">
        <v>5</v>
      </c>
      <c r="J46" s="164">
        <f>K45</f>
        <v>0</v>
      </c>
      <c r="K46" s="165"/>
      <c r="L46" s="9"/>
    </row>
    <row r="47" spans="1:12" ht="15" customHeight="1" x14ac:dyDescent="0.25">
      <c r="A47" s="182"/>
      <c r="B47" s="182"/>
      <c r="C47" s="182"/>
      <c r="D47" s="33"/>
      <c r="E47" s="183" t="s">
        <v>292</v>
      </c>
      <c r="F47" s="183"/>
      <c r="G47" s="183"/>
      <c r="H47" s="183"/>
      <c r="I47" s="183"/>
      <c r="J47" s="183"/>
      <c r="K47" s="183"/>
      <c r="L47" s="183"/>
    </row>
  </sheetData>
  <sheetProtection algorithmName="SHA-512" hashValue="N9qpfHDhgZmt300DFP8kS2uPEEdse/r8W7PGIpYKh+7A5Z7fRDjK86mh5ZmXjpsVfP3GyvR4VDHL5U6AXViOgw==" saltValue="7GDVFdzBGHHjkeTN/fq0OA==" spinCount="100000" sheet="1" objects="1" scenarios="1"/>
  <mergeCells count="104">
    <mergeCell ref="B37:C37"/>
    <mergeCell ref="B22:C22"/>
    <mergeCell ref="F22:G22"/>
    <mergeCell ref="J22:K22"/>
    <mergeCell ref="B29:C29"/>
    <mergeCell ref="D29:E29"/>
    <mergeCell ref="C23:E23"/>
    <mergeCell ref="F23:H23"/>
    <mergeCell ref="J23:K23"/>
    <mergeCell ref="B24:K24"/>
    <mergeCell ref="B27:C27"/>
    <mergeCell ref="D27:H27"/>
    <mergeCell ref="B25:H25"/>
    <mergeCell ref="B26:H26"/>
    <mergeCell ref="B28:C28"/>
    <mergeCell ref="D28:E28"/>
    <mergeCell ref="G28:H28"/>
    <mergeCell ref="A1:L1"/>
    <mergeCell ref="B7:K7"/>
    <mergeCell ref="B9:C9"/>
    <mergeCell ref="B10:C10"/>
    <mergeCell ref="B11:C11"/>
    <mergeCell ref="B12:C12"/>
    <mergeCell ref="B13:C13"/>
    <mergeCell ref="B14:C14"/>
    <mergeCell ref="B15:C15"/>
    <mergeCell ref="J12:K12"/>
    <mergeCell ref="J13:K13"/>
    <mergeCell ref="J14:K14"/>
    <mergeCell ref="F15:G15"/>
    <mergeCell ref="B16:C16"/>
    <mergeCell ref="B17:C17"/>
    <mergeCell ref="B18:C18"/>
    <mergeCell ref="B3:H3"/>
    <mergeCell ref="J3:K5"/>
    <mergeCell ref="E5:H5"/>
    <mergeCell ref="D37:E37"/>
    <mergeCell ref="B33:C33"/>
    <mergeCell ref="D33:E33"/>
    <mergeCell ref="B34:C34"/>
    <mergeCell ref="D34:E34"/>
    <mergeCell ref="B30:C30"/>
    <mergeCell ref="D30:E30"/>
    <mergeCell ref="B31:C31"/>
    <mergeCell ref="D31:E31"/>
    <mergeCell ref="B32:C32"/>
    <mergeCell ref="D32:E32"/>
    <mergeCell ref="D8:E8"/>
    <mergeCell ref="F8:G8"/>
    <mergeCell ref="H8:J8"/>
    <mergeCell ref="B35:C35"/>
    <mergeCell ref="D35:E35"/>
    <mergeCell ref="B36:C36"/>
    <mergeCell ref="D36:E36"/>
    <mergeCell ref="A47:C47"/>
    <mergeCell ref="E47:L47"/>
    <mergeCell ref="B38:C38"/>
    <mergeCell ref="D38:E38"/>
    <mergeCell ref="B39:H39"/>
    <mergeCell ref="B40:C40"/>
    <mergeCell ref="D40:F40"/>
    <mergeCell ref="B42:H42"/>
    <mergeCell ref="B43:H43"/>
    <mergeCell ref="B46:C46"/>
    <mergeCell ref="E46:F46"/>
    <mergeCell ref="J46:K46"/>
    <mergeCell ref="B44:H44"/>
    <mergeCell ref="B45:C45"/>
    <mergeCell ref="D45:E45"/>
    <mergeCell ref="B41:C41"/>
    <mergeCell ref="D41:E41"/>
    <mergeCell ref="F16:G16"/>
    <mergeCell ref="F17:G17"/>
    <mergeCell ref="F18:G18"/>
    <mergeCell ref="F19:G19"/>
    <mergeCell ref="F10:G10"/>
    <mergeCell ref="F11:G11"/>
    <mergeCell ref="F12:G12"/>
    <mergeCell ref="F13:G13"/>
    <mergeCell ref="F14:G14"/>
    <mergeCell ref="B21:D21"/>
    <mergeCell ref="J21:K21"/>
    <mergeCell ref="E9:G9"/>
    <mergeCell ref="H9:K9"/>
    <mergeCell ref="J10:K10"/>
    <mergeCell ref="H10:I10"/>
    <mergeCell ref="H11:I11"/>
    <mergeCell ref="H12:I12"/>
    <mergeCell ref="H13:I13"/>
    <mergeCell ref="H14:I14"/>
    <mergeCell ref="H15:I15"/>
    <mergeCell ref="H16:I16"/>
    <mergeCell ref="H17:I17"/>
    <mergeCell ref="H18:I18"/>
    <mergeCell ref="H19:I19"/>
    <mergeCell ref="B20:C20"/>
    <mergeCell ref="E20:F20"/>
    <mergeCell ref="G20:I20"/>
    <mergeCell ref="J15:K15"/>
    <mergeCell ref="J16:K16"/>
    <mergeCell ref="J17:K17"/>
    <mergeCell ref="J18:K18"/>
    <mergeCell ref="J19:K19"/>
    <mergeCell ref="J11:K11"/>
  </mergeCells>
  <printOptions horizontalCentered="1" verticalCentered="1"/>
  <pageMargins left="0.31496062992125984" right="0.31496062992125984" top="0.15748031496062992" bottom="0.15748031496062992" header="0.31496062992125984" footer="0.31496062992125984"/>
  <pageSetup paperSize="9" orientation="portrait" r:id="rId1"/>
  <ignoredErrors>
    <ignoredError sqref="K45 C5" unlockedFormula="1"/>
  </ignoredError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B00-000000000000}">
          <x14:formula1>
            <xm:f>'آبگرم مصرفی'!$P$9:$P$17</xm:f>
          </x14:formula1>
          <xm:sqref>C8</xm:sqref>
        </x14:dataValidation>
        <x14:dataValidation type="list" allowBlank="1" showInputMessage="1" showErrorMessage="1" xr:uid="{00000000-0002-0000-0B00-000001000000}">
          <x14:formula1>
            <xm:f>خصوصی!$P$1:$P$2</xm:f>
          </x14:formula1>
          <xm:sqref>D27:H27</xm:sqref>
        </x14:dataValidation>
        <x14:dataValidation type="list" allowBlank="1" showInputMessage="1" showErrorMessage="1" xr:uid="{00000000-0002-0000-0B00-000002000000}">
          <x14:formula1>
            <xm:f>سیرکولاتور!$C$3:$N$3</xm:f>
          </x14:formula1>
          <xm:sqref>D29:E38 D41:E41</xm:sqref>
        </x14:dataValidation>
        <x14:dataValidation type="list" allowBlank="1" showInputMessage="1" showErrorMessage="1" xr:uid="{00000000-0002-0000-0B00-000003000000}">
          <x14:formula1>
            <xm:f>خصوصی!$B$4:$B$14</xm:f>
          </x14:formula1>
          <xm:sqref>B29:C38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39997558519241921"/>
  </sheetPr>
  <dimension ref="A1:R43"/>
  <sheetViews>
    <sheetView rightToLeft="1" zoomScale="140" zoomScaleNormal="140" workbookViewId="0">
      <selection activeCell="E45" sqref="E45"/>
    </sheetView>
  </sheetViews>
  <sheetFormatPr defaultColWidth="9" defaultRowHeight="18" x14ac:dyDescent="0.25"/>
  <cols>
    <col min="1" max="1" width="2.7109375" style="2" customWidth="1"/>
    <col min="2" max="2" width="5.7109375" style="2" customWidth="1"/>
    <col min="3" max="3" width="35.7109375" style="2" customWidth="1"/>
    <col min="4" max="11" width="5.7109375" style="2" customWidth="1"/>
    <col min="12" max="12" width="2.7109375" style="2" customWidth="1"/>
    <col min="13" max="18" width="4.7109375" style="2" customWidth="1"/>
    <col min="19" max="16384" width="9" style="2"/>
  </cols>
  <sheetData>
    <row r="1" spans="1:18" x14ac:dyDescent="0.25">
      <c r="A1" s="148" t="s">
        <v>64</v>
      </c>
      <c r="B1" s="148"/>
      <c r="C1" s="148"/>
      <c r="D1" s="148"/>
      <c r="E1" s="148"/>
      <c r="F1" s="148"/>
      <c r="G1" s="148"/>
      <c r="H1" s="148"/>
      <c r="I1" s="148"/>
      <c r="J1" s="148"/>
      <c r="K1" s="148"/>
      <c r="L1" s="148"/>
    </row>
    <row r="2" spans="1:18" ht="15" customHeight="1" thickBot="1" x14ac:dyDescent="0.3">
      <c r="A2" s="9"/>
      <c r="B2" s="9"/>
      <c r="C2" s="9"/>
      <c r="D2" s="9"/>
      <c r="E2" s="9"/>
      <c r="F2" s="9"/>
      <c r="G2" s="9"/>
      <c r="H2" s="9"/>
      <c r="I2" s="9"/>
      <c r="J2" s="9"/>
      <c r="K2" s="9"/>
      <c r="L2" s="9"/>
    </row>
    <row r="3" spans="1:18" ht="20.100000000000001" customHeight="1" thickBot="1" x14ac:dyDescent="0.3">
      <c r="A3" s="9"/>
      <c r="B3" s="153" t="s">
        <v>175</v>
      </c>
      <c r="C3" s="154"/>
      <c r="D3" s="154"/>
      <c r="E3" s="154"/>
      <c r="F3" s="154"/>
      <c r="G3" s="154"/>
      <c r="H3" s="155"/>
      <c r="I3" s="78"/>
      <c r="J3" s="156"/>
      <c r="K3" s="157"/>
      <c r="L3" s="9"/>
    </row>
    <row r="4" spans="1:18" ht="15" customHeight="1" thickBot="1" x14ac:dyDescent="0.3">
      <c r="A4" s="9"/>
      <c r="B4" s="11"/>
      <c r="C4" s="11"/>
      <c r="D4" s="11"/>
      <c r="E4" s="11"/>
      <c r="F4" s="11"/>
      <c r="G4" s="11"/>
      <c r="H4" s="11"/>
      <c r="I4" s="11"/>
      <c r="J4" s="158"/>
      <c r="K4" s="159"/>
      <c r="L4" s="9"/>
    </row>
    <row r="5" spans="1:18" ht="18" customHeight="1" thickBot="1" x14ac:dyDescent="0.3">
      <c r="A5" s="9"/>
      <c r="B5" s="74" t="s">
        <v>65</v>
      </c>
      <c r="C5" s="79" t="str">
        <f>کاور!C43</f>
        <v>پروژه نمونه</v>
      </c>
      <c r="D5" s="75" t="s">
        <v>49</v>
      </c>
      <c r="E5" s="162">
        <f>کاور!G43</f>
        <v>46199</v>
      </c>
      <c r="F5" s="162"/>
      <c r="G5" s="162"/>
      <c r="H5" s="163"/>
      <c r="I5" s="80"/>
      <c r="J5" s="160"/>
      <c r="K5" s="161"/>
      <c r="L5" s="10"/>
      <c r="M5" s="1"/>
      <c r="N5" s="1"/>
      <c r="O5" s="1"/>
      <c r="P5" s="1"/>
      <c r="Q5" s="1"/>
      <c r="R5" s="1"/>
    </row>
    <row r="6" spans="1:18" ht="15" customHeight="1" thickBot="1" x14ac:dyDescent="0.3">
      <c r="A6" s="9"/>
      <c r="B6" s="9"/>
      <c r="C6" s="9"/>
      <c r="D6" s="9"/>
      <c r="E6" s="9"/>
      <c r="F6" s="9"/>
      <c r="G6" s="9"/>
      <c r="H6" s="9"/>
      <c r="I6" s="9"/>
      <c r="J6" s="9"/>
      <c r="K6" s="9"/>
      <c r="L6" s="9"/>
    </row>
    <row r="7" spans="1:18" ht="18" customHeight="1" x14ac:dyDescent="0.25">
      <c r="A7" s="9"/>
      <c r="B7" s="149" t="s">
        <v>284</v>
      </c>
      <c r="C7" s="150"/>
      <c r="D7" s="150"/>
      <c r="E7" s="150"/>
      <c r="F7" s="150"/>
      <c r="G7" s="150"/>
      <c r="H7" s="150"/>
      <c r="I7" s="150"/>
      <c r="J7" s="150"/>
      <c r="K7" s="151"/>
      <c r="L7" s="9"/>
    </row>
    <row r="8" spans="1:18" ht="18" customHeight="1" x14ac:dyDescent="0.25">
      <c r="A8" s="9"/>
      <c r="B8" s="137" t="s">
        <v>281</v>
      </c>
      <c r="C8" s="138"/>
      <c r="D8" s="138"/>
      <c r="E8" s="138"/>
      <c r="F8" s="138"/>
      <c r="G8" s="174"/>
      <c r="H8" s="144"/>
      <c r="I8" s="144"/>
      <c r="J8" s="144"/>
      <c r="K8" s="145"/>
      <c r="L8" s="9"/>
    </row>
    <row r="9" spans="1:18" ht="18" customHeight="1" x14ac:dyDescent="0.25">
      <c r="A9" s="9"/>
      <c r="B9" s="137" t="s">
        <v>283</v>
      </c>
      <c r="C9" s="138"/>
      <c r="D9" s="138"/>
      <c r="E9" s="138"/>
      <c r="F9" s="144" t="s">
        <v>265</v>
      </c>
      <c r="G9" s="144"/>
      <c r="H9" s="129" t="s">
        <v>263</v>
      </c>
      <c r="I9" s="174"/>
      <c r="J9" s="144"/>
      <c r="K9" s="145"/>
      <c r="L9" s="9"/>
    </row>
    <row r="10" spans="1:18" ht="18" customHeight="1" x14ac:dyDescent="0.25">
      <c r="A10" s="9"/>
      <c r="B10" s="137" t="s">
        <v>282</v>
      </c>
      <c r="C10" s="138"/>
      <c r="D10" s="138"/>
      <c r="E10" s="138"/>
      <c r="F10" s="138"/>
      <c r="G10" s="138"/>
      <c r="H10" s="138"/>
      <c r="I10" s="138"/>
      <c r="J10" s="30" t="s">
        <v>5</v>
      </c>
      <c r="K10" s="130">
        <f>K37</f>
        <v>0</v>
      </c>
      <c r="L10" s="9"/>
    </row>
    <row r="11" spans="1:18" ht="18" customHeight="1" x14ac:dyDescent="0.25">
      <c r="A11" s="9"/>
      <c r="B11" s="146" t="s">
        <v>290</v>
      </c>
      <c r="C11" s="135"/>
      <c r="D11" s="135"/>
      <c r="E11" s="135"/>
      <c r="F11" s="227"/>
      <c r="G11" s="259" t="s">
        <v>0</v>
      </c>
      <c r="H11" s="250"/>
      <c r="I11" s="256">
        <f>IF(AND(I9=0,F9="مقدار جدید"),"∆T=?",سیرکولاتور!Q23)</f>
        <v>0</v>
      </c>
      <c r="J11" s="257"/>
      <c r="K11" s="258"/>
      <c r="L11" s="9"/>
    </row>
    <row r="12" spans="1:18" ht="18" customHeight="1" x14ac:dyDescent="0.25">
      <c r="A12" s="9"/>
      <c r="B12" s="137" t="s">
        <v>158</v>
      </c>
      <c r="C12" s="241"/>
      <c r="D12" s="143" t="s">
        <v>136</v>
      </c>
      <c r="E12" s="135"/>
      <c r="F12" s="120">
        <v>10</v>
      </c>
      <c r="G12" s="259" t="s">
        <v>0</v>
      </c>
      <c r="H12" s="250"/>
      <c r="I12" s="256">
        <f>I11+(I11*F12)/100</f>
        <v>0</v>
      </c>
      <c r="J12" s="257"/>
      <c r="K12" s="258"/>
      <c r="L12" s="9"/>
    </row>
    <row r="13" spans="1:18" ht="20.100000000000001" customHeight="1" thickBot="1" x14ac:dyDescent="0.3">
      <c r="A13" s="9"/>
      <c r="B13" s="170" t="s">
        <v>134</v>
      </c>
      <c r="C13" s="171"/>
      <c r="D13" s="27" t="s">
        <v>51</v>
      </c>
      <c r="E13" s="29">
        <f>J13*3.78</f>
        <v>0</v>
      </c>
      <c r="F13" s="172" t="s">
        <v>197</v>
      </c>
      <c r="G13" s="173"/>
      <c r="H13" s="29">
        <f>J13*0.227</f>
        <v>0</v>
      </c>
      <c r="I13" s="27" t="s">
        <v>0</v>
      </c>
      <c r="J13" s="164">
        <f>I12</f>
        <v>0</v>
      </c>
      <c r="K13" s="165"/>
      <c r="L13" s="9"/>
    </row>
    <row r="14" spans="1:18" ht="15" customHeight="1" thickBot="1" x14ac:dyDescent="0.3">
      <c r="A14" s="9"/>
      <c r="B14" s="9"/>
      <c r="C14" s="166"/>
      <c r="D14" s="166"/>
      <c r="E14" s="166"/>
      <c r="F14" s="166"/>
      <c r="G14" s="166"/>
      <c r="H14" s="166"/>
      <c r="I14" s="9"/>
      <c r="J14" s="166"/>
      <c r="K14" s="166"/>
      <c r="L14" s="9"/>
    </row>
    <row r="15" spans="1:18" ht="18" customHeight="1" x14ac:dyDescent="0.25">
      <c r="A15" s="9"/>
      <c r="B15" s="149" t="s">
        <v>178</v>
      </c>
      <c r="C15" s="150"/>
      <c r="D15" s="150"/>
      <c r="E15" s="150"/>
      <c r="F15" s="150"/>
      <c r="G15" s="150"/>
      <c r="H15" s="150"/>
      <c r="I15" s="150"/>
      <c r="J15" s="150"/>
      <c r="K15" s="151"/>
      <c r="L15" s="9"/>
    </row>
    <row r="16" spans="1:18" ht="18" customHeight="1" x14ac:dyDescent="0.25">
      <c r="A16" s="9"/>
      <c r="B16" s="167" t="s">
        <v>176</v>
      </c>
      <c r="C16" s="168"/>
      <c r="D16" s="168"/>
      <c r="E16" s="168"/>
      <c r="F16" s="168"/>
      <c r="G16" s="168"/>
      <c r="H16" s="168"/>
      <c r="I16" s="7" t="s">
        <v>10</v>
      </c>
      <c r="J16" s="13" t="s">
        <v>5</v>
      </c>
      <c r="K16" s="18"/>
      <c r="L16" s="9"/>
    </row>
    <row r="17" spans="1:12" ht="18" customHeight="1" x14ac:dyDescent="0.25">
      <c r="A17" s="9"/>
      <c r="B17" s="167" t="s">
        <v>174</v>
      </c>
      <c r="C17" s="168"/>
      <c r="D17" s="168"/>
      <c r="E17" s="168"/>
      <c r="F17" s="168"/>
      <c r="G17" s="168"/>
      <c r="H17" s="168"/>
      <c r="I17" s="7" t="s">
        <v>10</v>
      </c>
      <c r="J17" s="13" t="s">
        <v>5</v>
      </c>
      <c r="K17" s="18"/>
      <c r="L17" s="9"/>
    </row>
    <row r="18" spans="1:12" ht="18" customHeight="1" x14ac:dyDescent="0.25">
      <c r="A18" s="9"/>
      <c r="B18" s="167" t="s">
        <v>177</v>
      </c>
      <c r="C18" s="168"/>
      <c r="D18" s="168"/>
      <c r="E18" s="168"/>
      <c r="F18" s="168"/>
      <c r="G18" s="168"/>
      <c r="H18" s="168"/>
      <c r="I18" s="7" t="s">
        <v>10</v>
      </c>
      <c r="J18" s="13" t="s">
        <v>5</v>
      </c>
      <c r="K18" s="18"/>
      <c r="L18" s="9"/>
    </row>
    <row r="19" spans="1:12" ht="18" customHeight="1" x14ac:dyDescent="0.25">
      <c r="A19" s="9"/>
      <c r="B19" s="167" t="s">
        <v>173</v>
      </c>
      <c r="C19" s="168"/>
      <c r="D19" s="168"/>
      <c r="E19" s="168"/>
      <c r="F19" s="168"/>
      <c r="G19" s="168"/>
      <c r="H19" s="168"/>
      <c r="I19" s="7" t="s">
        <v>10</v>
      </c>
      <c r="J19" s="13" t="s">
        <v>5</v>
      </c>
      <c r="K19" s="14">
        <f>SUM(K16:K18)*2</f>
        <v>0</v>
      </c>
      <c r="L19" s="9"/>
    </row>
    <row r="20" spans="1:12" ht="18" customHeight="1" x14ac:dyDescent="0.25">
      <c r="A20" s="9"/>
      <c r="B20" s="137" t="s">
        <v>182</v>
      </c>
      <c r="C20" s="138"/>
      <c r="D20" s="174" t="s">
        <v>187</v>
      </c>
      <c r="E20" s="144"/>
      <c r="F20" s="144"/>
      <c r="G20" s="144"/>
      <c r="H20" s="175"/>
      <c r="I20" s="7" t="s">
        <v>10</v>
      </c>
      <c r="J20" s="13" t="s">
        <v>5</v>
      </c>
      <c r="K20" s="14">
        <f>IF(D20=سیرکولاتور!P1,0.5*K19,0)</f>
        <v>0</v>
      </c>
      <c r="L20" s="9"/>
    </row>
    <row r="21" spans="1:12" ht="18" customHeight="1" x14ac:dyDescent="0.25">
      <c r="A21" s="9"/>
      <c r="B21" s="167" t="s">
        <v>28</v>
      </c>
      <c r="C21" s="168"/>
      <c r="D21" s="169" t="s">
        <v>72</v>
      </c>
      <c r="E21" s="169"/>
      <c r="F21" s="8" t="s">
        <v>7</v>
      </c>
      <c r="G21" s="169" t="s">
        <v>9</v>
      </c>
      <c r="H21" s="169"/>
      <c r="I21" s="8"/>
      <c r="J21" s="13"/>
      <c r="K21" s="14"/>
      <c r="L21" s="9"/>
    </row>
    <row r="22" spans="1:12" ht="18" customHeight="1" x14ac:dyDescent="0.25">
      <c r="A22" s="9"/>
      <c r="B22" s="176"/>
      <c r="C22" s="177"/>
      <c r="D22" s="177"/>
      <c r="E22" s="177"/>
      <c r="F22" s="17"/>
      <c r="G22" s="13" t="s">
        <v>5</v>
      </c>
      <c r="H22" s="16">
        <f>سیرکولاتور!N17</f>
        <v>0</v>
      </c>
      <c r="I22" s="7" t="s">
        <v>10</v>
      </c>
      <c r="J22" s="13" t="s">
        <v>5</v>
      </c>
      <c r="K22" s="14">
        <f>H22*F22</f>
        <v>0</v>
      </c>
      <c r="L22" s="9"/>
    </row>
    <row r="23" spans="1:12" ht="18" customHeight="1" x14ac:dyDescent="0.25">
      <c r="A23" s="9"/>
      <c r="B23" s="176"/>
      <c r="C23" s="177"/>
      <c r="D23" s="177"/>
      <c r="E23" s="177"/>
      <c r="F23" s="17"/>
      <c r="G23" s="13" t="s">
        <v>5</v>
      </c>
      <c r="H23" s="16">
        <f>سیرکولاتور!N18</f>
        <v>0</v>
      </c>
      <c r="I23" s="7" t="s">
        <v>10</v>
      </c>
      <c r="J23" s="13" t="s">
        <v>5</v>
      </c>
      <c r="K23" s="14">
        <f t="shared" ref="K23:K36" si="0">H23*F23</f>
        <v>0</v>
      </c>
      <c r="L23" s="9"/>
    </row>
    <row r="24" spans="1:12" ht="18" customHeight="1" x14ac:dyDescent="0.25">
      <c r="A24" s="9"/>
      <c r="B24" s="176"/>
      <c r="C24" s="177"/>
      <c r="D24" s="177"/>
      <c r="E24" s="177"/>
      <c r="F24" s="17"/>
      <c r="G24" s="13" t="s">
        <v>5</v>
      </c>
      <c r="H24" s="16">
        <f>سیرکولاتور!N19</f>
        <v>0</v>
      </c>
      <c r="I24" s="7" t="s">
        <v>10</v>
      </c>
      <c r="J24" s="13" t="s">
        <v>5</v>
      </c>
      <c r="K24" s="14">
        <f t="shared" si="0"/>
        <v>0</v>
      </c>
      <c r="L24" s="9"/>
    </row>
    <row r="25" spans="1:12" ht="18" customHeight="1" x14ac:dyDescent="0.25">
      <c r="A25" s="9"/>
      <c r="B25" s="176"/>
      <c r="C25" s="177"/>
      <c r="D25" s="177"/>
      <c r="E25" s="177"/>
      <c r="F25" s="17"/>
      <c r="G25" s="13" t="s">
        <v>5</v>
      </c>
      <c r="H25" s="16">
        <f>سیرکولاتور!N20</f>
        <v>0</v>
      </c>
      <c r="I25" s="7" t="s">
        <v>10</v>
      </c>
      <c r="J25" s="13" t="s">
        <v>5</v>
      </c>
      <c r="K25" s="14">
        <f t="shared" si="0"/>
        <v>0</v>
      </c>
      <c r="L25" s="9"/>
    </row>
    <row r="26" spans="1:12" ht="18" customHeight="1" x14ac:dyDescent="0.25">
      <c r="A26" s="9"/>
      <c r="B26" s="176"/>
      <c r="C26" s="177"/>
      <c r="D26" s="177"/>
      <c r="E26" s="177"/>
      <c r="F26" s="17"/>
      <c r="G26" s="13" t="s">
        <v>5</v>
      </c>
      <c r="H26" s="16">
        <f>سیرکولاتور!N21</f>
        <v>0</v>
      </c>
      <c r="I26" s="7" t="s">
        <v>10</v>
      </c>
      <c r="J26" s="13" t="s">
        <v>5</v>
      </c>
      <c r="K26" s="14">
        <f t="shared" si="0"/>
        <v>0</v>
      </c>
      <c r="L26" s="9"/>
    </row>
    <row r="27" spans="1:12" ht="18" customHeight="1" x14ac:dyDescent="0.25">
      <c r="A27" s="9"/>
      <c r="B27" s="176"/>
      <c r="C27" s="177"/>
      <c r="D27" s="177"/>
      <c r="E27" s="177"/>
      <c r="F27" s="17"/>
      <c r="G27" s="13" t="s">
        <v>5</v>
      </c>
      <c r="H27" s="16">
        <f>سیرکولاتور!N22</f>
        <v>0</v>
      </c>
      <c r="I27" s="7" t="s">
        <v>10</v>
      </c>
      <c r="J27" s="13" t="s">
        <v>5</v>
      </c>
      <c r="K27" s="14">
        <f t="shared" si="0"/>
        <v>0</v>
      </c>
      <c r="L27" s="9"/>
    </row>
    <row r="28" spans="1:12" ht="18" customHeight="1" x14ac:dyDescent="0.25">
      <c r="A28" s="9"/>
      <c r="B28" s="176"/>
      <c r="C28" s="177"/>
      <c r="D28" s="177"/>
      <c r="E28" s="177"/>
      <c r="F28" s="17"/>
      <c r="G28" s="13" t="s">
        <v>5</v>
      </c>
      <c r="H28" s="16">
        <f>سیرکولاتور!N23</f>
        <v>0</v>
      </c>
      <c r="I28" s="7" t="s">
        <v>10</v>
      </c>
      <c r="J28" s="13" t="s">
        <v>5</v>
      </c>
      <c r="K28" s="14">
        <f t="shared" si="0"/>
        <v>0</v>
      </c>
      <c r="L28" s="9"/>
    </row>
    <row r="29" spans="1:12" ht="18" customHeight="1" x14ac:dyDescent="0.25">
      <c r="A29" s="9"/>
      <c r="B29" s="176"/>
      <c r="C29" s="177"/>
      <c r="D29" s="177"/>
      <c r="E29" s="177"/>
      <c r="F29" s="17"/>
      <c r="G29" s="13" t="s">
        <v>5</v>
      </c>
      <c r="H29" s="16">
        <f>سیرکولاتور!N24</f>
        <v>0</v>
      </c>
      <c r="I29" s="7" t="s">
        <v>10</v>
      </c>
      <c r="J29" s="13" t="s">
        <v>5</v>
      </c>
      <c r="K29" s="14">
        <f t="shared" si="0"/>
        <v>0</v>
      </c>
      <c r="L29" s="9"/>
    </row>
    <row r="30" spans="1:12" ht="18" customHeight="1" x14ac:dyDescent="0.25">
      <c r="A30" s="9"/>
      <c r="B30" s="176"/>
      <c r="C30" s="177"/>
      <c r="D30" s="177"/>
      <c r="E30" s="177"/>
      <c r="F30" s="17"/>
      <c r="G30" s="13" t="s">
        <v>5</v>
      </c>
      <c r="H30" s="16">
        <f>سیرکولاتور!N25</f>
        <v>0</v>
      </c>
      <c r="I30" s="7" t="s">
        <v>10</v>
      </c>
      <c r="J30" s="13" t="s">
        <v>5</v>
      </c>
      <c r="K30" s="14">
        <f t="shared" si="0"/>
        <v>0</v>
      </c>
      <c r="L30" s="9"/>
    </row>
    <row r="31" spans="1:12" ht="18" customHeight="1" x14ac:dyDescent="0.25">
      <c r="A31" s="9"/>
      <c r="B31" s="176"/>
      <c r="C31" s="177"/>
      <c r="D31" s="177"/>
      <c r="E31" s="177"/>
      <c r="F31" s="17"/>
      <c r="G31" s="13" t="s">
        <v>5</v>
      </c>
      <c r="H31" s="16">
        <f>سیرکولاتور!N26</f>
        <v>0</v>
      </c>
      <c r="I31" s="7" t="s">
        <v>10</v>
      </c>
      <c r="J31" s="13" t="s">
        <v>5</v>
      </c>
      <c r="K31" s="14">
        <f t="shared" si="0"/>
        <v>0</v>
      </c>
      <c r="L31" s="9"/>
    </row>
    <row r="32" spans="1:12" ht="18" customHeight="1" x14ac:dyDescent="0.25">
      <c r="A32" s="9"/>
      <c r="B32" s="176"/>
      <c r="C32" s="177"/>
      <c r="D32" s="177"/>
      <c r="E32" s="177"/>
      <c r="F32" s="17"/>
      <c r="G32" s="13" t="s">
        <v>5</v>
      </c>
      <c r="H32" s="16">
        <f>سیرکولاتور!N27</f>
        <v>0</v>
      </c>
      <c r="I32" s="7" t="s">
        <v>10</v>
      </c>
      <c r="J32" s="13" t="s">
        <v>5</v>
      </c>
      <c r="K32" s="14">
        <f t="shared" si="0"/>
        <v>0</v>
      </c>
      <c r="L32" s="9"/>
    </row>
    <row r="33" spans="1:12" ht="18" customHeight="1" x14ac:dyDescent="0.25">
      <c r="A33" s="9"/>
      <c r="B33" s="176"/>
      <c r="C33" s="177"/>
      <c r="D33" s="177"/>
      <c r="E33" s="177"/>
      <c r="F33" s="17"/>
      <c r="G33" s="13" t="s">
        <v>5</v>
      </c>
      <c r="H33" s="16">
        <f>سیرکولاتور!N28</f>
        <v>0</v>
      </c>
      <c r="I33" s="7" t="s">
        <v>10</v>
      </c>
      <c r="J33" s="13" t="s">
        <v>5</v>
      </c>
      <c r="K33" s="14">
        <f t="shared" si="0"/>
        <v>0</v>
      </c>
      <c r="L33" s="9"/>
    </row>
    <row r="34" spans="1:12" ht="18" customHeight="1" x14ac:dyDescent="0.25">
      <c r="A34" s="9"/>
      <c r="B34" s="176"/>
      <c r="C34" s="177"/>
      <c r="D34" s="177"/>
      <c r="E34" s="177"/>
      <c r="F34" s="17"/>
      <c r="G34" s="13" t="s">
        <v>5</v>
      </c>
      <c r="H34" s="16">
        <f>سیرکولاتور!N29</f>
        <v>0</v>
      </c>
      <c r="I34" s="7" t="s">
        <v>10</v>
      </c>
      <c r="J34" s="13" t="s">
        <v>5</v>
      </c>
      <c r="K34" s="14">
        <f t="shared" si="0"/>
        <v>0</v>
      </c>
      <c r="L34" s="9"/>
    </row>
    <row r="35" spans="1:12" ht="18" customHeight="1" x14ac:dyDescent="0.25">
      <c r="A35" s="9"/>
      <c r="B35" s="176"/>
      <c r="C35" s="177"/>
      <c r="D35" s="177"/>
      <c r="E35" s="177"/>
      <c r="F35" s="17"/>
      <c r="G35" s="13" t="s">
        <v>5</v>
      </c>
      <c r="H35" s="16">
        <f>سیرکولاتور!N30</f>
        <v>0</v>
      </c>
      <c r="I35" s="7" t="s">
        <v>10</v>
      </c>
      <c r="J35" s="13" t="s">
        <v>5</v>
      </c>
      <c r="K35" s="14">
        <f t="shared" si="0"/>
        <v>0</v>
      </c>
      <c r="L35" s="9"/>
    </row>
    <row r="36" spans="1:12" ht="18" customHeight="1" x14ac:dyDescent="0.25">
      <c r="A36" s="9"/>
      <c r="B36" s="176"/>
      <c r="C36" s="177"/>
      <c r="D36" s="177"/>
      <c r="E36" s="177"/>
      <c r="F36" s="17"/>
      <c r="G36" s="13" t="s">
        <v>5</v>
      </c>
      <c r="H36" s="16">
        <f>سیرکولاتور!N31</f>
        <v>0</v>
      </c>
      <c r="I36" s="7" t="s">
        <v>10</v>
      </c>
      <c r="J36" s="13" t="s">
        <v>5</v>
      </c>
      <c r="K36" s="14">
        <f t="shared" si="0"/>
        <v>0</v>
      </c>
      <c r="L36" s="9"/>
    </row>
    <row r="37" spans="1:12" ht="18" customHeight="1" x14ac:dyDescent="0.25">
      <c r="A37" s="9"/>
      <c r="B37" s="167" t="s">
        <v>52</v>
      </c>
      <c r="C37" s="168"/>
      <c r="D37" s="168"/>
      <c r="E37" s="168"/>
      <c r="F37" s="168"/>
      <c r="G37" s="168"/>
      <c r="H37" s="168"/>
      <c r="I37" s="7" t="s">
        <v>10</v>
      </c>
      <c r="J37" s="13" t="s">
        <v>5</v>
      </c>
      <c r="K37" s="15">
        <f>IF(K20=0,SUM(K22:K36)+K19,K19+K20)</f>
        <v>0</v>
      </c>
      <c r="L37" s="9"/>
    </row>
    <row r="38" spans="1:12" ht="18" customHeight="1" x14ac:dyDescent="0.25">
      <c r="A38" s="9"/>
      <c r="B38" s="167" t="s">
        <v>32</v>
      </c>
      <c r="C38" s="178"/>
      <c r="D38" s="179" t="s">
        <v>33</v>
      </c>
      <c r="E38" s="180"/>
      <c r="F38" s="229"/>
      <c r="G38" s="36">
        <v>2.5</v>
      </c>
      <c r="H38" s="32" t="s">
        <v>34</v>
      </c>
      <c r="I38" s="7" t="s">
        <v>10</v>
      </c>
      <c r="J38" s="13" t="s">
        <v>5</v>
      </c>
      <c r="K38" s="25">
        <f>G38*(K37/100)</f>
        <v>0</v>
      </c>
      <c r="L38" s="9"/>
    </row>
    <row r="39" spans="1:12" ht="18" customHeight="1" x14ac:dyDescent="0.25">
      <c r="A39" s="9"/>
      <c r="B39" s="137" t="s">
        <v>268</v>
      </c>
      <c r="C39" s="138"/>
      <c r="D39" s="144"/>
      <c r="E39" s="144"/>
      <c r="F39" s="119" t="s">
        <v>194</v>
      </c>
      <c r="G39" s="118" t="s">
        <v>0</v>
      </c>
      <c r="H39" s="120"/>
      <c r="I39" s="7" t="s">
        <v>10</v>
      </c>
      <c r="J39" s="13" t="s">
        <v>5</v>
      </c>
      <c r="K39" s="25">
        <f>IF(OR(H39=0,D39=0),0,0.703*(H39/سیرکولاتور!D37)^2)</f>
        <v>0</v>
      </c>
      <c r="L39" s="9"/>
    </row>
    <row r="40" spans="1:12" ht="18" customHeight="1" x14ac:dyDescent="0.25">
      <c r="A40" s="9"/>
      <c r="B40" s="137" t="s">
        <v>155</v>
      </c>
      <c r="C40" s="138"/>
      <c r="D40" s="138"/>
      <c r="E40" s="138"/>
      <c r="F40" s="138"/>
      <c r="G40" s="138"/>
      <c r="H40" s="241"/>
      <c r="I40" s="7" t="s">
        <v>10</v>
      </c>
      <c r="J40" s="13" t="s">
        <v>5</v>
      </c>
      <c r="K40" s="25">
        <f>K38+K39</f>
        <v>0</v>
      </c>
      <c r="L40" s="9"/>
    </row>
    <row r="41" spans="1:12" ht="18" customHeight="1" x14ac:dyDescent="0.25">
      <c r="A41" s="9"/>
      <c r="B41" s="137" t="s">
        <v>154</v>
      </c>
      <c r="C41" s="138"/>
      <c r="D41" s="143" t="s">
        <v>136</v>
      </c>
      <c r="E41" s="227"/>
      <c r="F41" s="17"/>
      <c r="G41" s="51"/>
      <c r="H41" s="51"/>
      <c r="I41" s="7" t="s">
        <v>10</v>
      </c>
      <c r="J41" s="13" t="s">
        <v>5</v>
      </c>
      <c r="K41" s="52">
        <f>K40+(K40*F41/100)</f>
        <v>0</v>
      </c>
      <c r="L41" s="9"/>
    </row>
    <row r="42" spans="1:12" ht="20.100000000000001" customHeight="1" thickBot="1" x14ac:dyDescent="0.3">
      <c r="A42" s="9"/>
      <c r="B42" s="170" t="s">
        <v>67</v>
      </c>
      <c r="C42" s="171"/>
      <c r="D42" s="26" t="s">
        <v>63</v>
      </c>
      <c r="E42" s="184">
        <f>J42*3.28</f>
        <v>0</v>
      </c>
      <c r="F42" s="185"/>
      <c r="G42" s="27" t="s">
        <v>62</v>
      </c>
      <c r="H42" s="28">
        <f>J42*1.42</f>
        <v>0</v>
      </c>
      <c r="I42" s="26" t="s">
        <v>5</v>
      </c>
      <c r="J42" s="164">
        <f>K41</f>
        <v>0</v>
      </c>
      <c r="K42" s="165"/>
      <c r="L42" s="9"/>
    </row>
    <row r="43" spans="1:12" ht="15" customHeight="1" x14ac:dyDescent="0.25">
      <c r="A43" s="182"/>
      <c r="B43" s="182"/>
      <c r="C43" s="182"/>
      <c r="D43" s="33"/>
      <c r="E43" s="183" t="s">
        <v>292</v>
      </c>
      <c r="F43" s="183"/>
      <c r="G43" s="183"/>
      <c r="H43" s="183"/>
      <c r="I43" s="183"/>
      <c r="J43" s="183"/>
      <c r="K43" s="183"/>
      <c r="L43" s="183"/>
    </row>
  </sheetData>
  <sheetProtection algorithmName="SHA-512" hashValue="KpCfU/9psFUgEK+j9d7FMtmPW6NL/ZU4RNJP3iVfKj3ZwbWLBnF30PuzBt7S4vM7q6hIJ6IBbz/PZIvI3/cQbg==" saltValue="3U/Zzt/pzUYC8OywrSpUbg==" spinCount="100000" sheet="1" objects="1" scenarios="1"/>
  <mergeCells count="77">
    <mergeCell ref="D39:E39"/>
    <mergeCell ref="G8:K8"/>
    <mergeCell ref="B8:F8"/>
    <mergeCell ref="B10:I10"/>
    <mergeCell ref="B9:E9"/>
    <mergeCell ref="F9:G9"/>
    <mergeCell ref="I11:K11"/>
    <mergeCell ref="G11:H11"/>
    <mergeCell ref="B11:F11"/>
    <mergeCell ref="I9:K9"/>
    <mergeCell ref="B12:C12"/>
    <mergeCell ref="D12:E12"/>
    <mergeCell ref="G12:H12"/>
    <mergeCell ref="I12:K12"/>
    <mergeCell ref="B13:C13"/>
    <mergeCell ref="F13:G13"/>
    <mergeCell ref="A1:L1"/>
    <mergeCell ref="B7:K7"/>
    <mergeCell ref="B3:H3"/>
    <mergeCell ref="J3:K5"/>
    <mergeCell ref="E5:H5"/>
    <mergeCell ref="J13:K13"/>
    <mergeCell ref="B22:C22"/>
    <mergeCell ref="D22:E22"/>
    <mergeCell ref="C14:E14"/>
    <mergeCell ref="F14:H14"/>
    <mergeCell ref="J14:K14"/>
    <mergeCell ref="B15:K15"/>
    <mergeCell ref="B16:H16"/>
    <mergeCell ref="B17:H17"/>
    <mergeCell ref="B18:H18"/>
    <mergeCell ref="B19:H19"/>
    <mergeCell ref="B21:C21"/>
    <mergeCell ref="D21:E21"/>
    <mergeCell ref="G21:H21"/>
    <mergeCell ref="B20:C20"/>
    <mergeCell ref="D20:H20"/>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43:C43"/>
    <mergeCell ref="E43:L43"/>
    <mergeCell ref="B35:C35"/>
    <mergeCell ref="D35:E35"/>
    <mergeCell ref="B36:C36"/>
    <mergeCell ref="D36:E36"/>
    <mergeCell ref="B37:H37"/>
    <mergeCell ref="B38:C38"/>
    <mergeCell ref="D38:F38"/>
    <mergeCell ref="B40:H40"/>
    <mergeCell ref="B42:C42"/>
    <mergeCell ref="E42:F42"/>
    <mergeCell ref="J42:K42"/>
    <mergeCell ref="B41:C41"/>
    <mergeCell ref="D41:E41"/>
    <mergeCell ref="B39:C39"/>
  </mergeCells>
  <printOptions horizontalCentered="1" verticalCentered="1"/>
  <pageMargins left="0.31496062992125984" right="0.31496062992125984" top="0.15748031496062992" bottom="0.15748031496062992" header="0.31496062992125984" footer="0.31496062992125984"/>
  <pageSetup paperSize="9" orientation="portrait" r:id="rId1"/>
  <ignoredErrors>
    <ignoredError sqref="K41 C5" unlockedFormula="1"/>
  </ignoredError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C00-000000000000}">
          <x14:formula1>
            <xm:f>خصوصی!$B$4:$B$14</xm:f>
          </x14:formula1>
          <xm:sqref>B22:C36</xm:sqref>
        </x14:dataValidation>
        <x14:dataValidation type="list" allowBlank="1" showInputMessage="1" showErrorMessage="1" xr:uid="{00000000-0002-0000-0C00-000001000000}">
          <x14:formula1>
            <xm:f>سیرکولاتور!$C$3:$N$3</xm:f>
          </x14:formula1>
          <xm:sqref>D22:E36 D39:E39</xm:sqref>
        </x14:dataValidation>
        <x14:dataValidation type="list" allowBlank="1" showInputMessage="1" showErrorMessage="1" xr:uid="{00000000-0002-0000-0C00-000002000000}">
          <x14:formula1>
            <xm:f>خصوصی!$P$1:$P$2</xm:f>
          </x14:formula1>
          <xm:sqref>D20:H20</xm:sqref>
        </x14:dataValidation>
        <x14:dataValidation type="list" allowBlank="1" showInputMessage="1" showErrorMessage="1" xr:uid="{00000000-0002-0000-0C00-000003000000}">
          <x14:formula1>
            <xm:f>سیرکولاتور!$P$16:$P$17</xm:f>
          </x14:formula1>
          <xm:sqref>G8:K8</xm:sqref>
        </x14:dataValidation>
        <x14:dataValidation type="list" allowBlank="1" showInputMessage="1" showErrorMessage="1" xr:uid="{00000000-0002-0000-0C00-000004000000}">
          <x14:formula1>
            <xm:f>سیرکولاتور!$R$1:$R$2</xm:f>
          </x14:formula1>
          <xm:sqref>F9:G9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34"/>
  <sheetViews>
    <sheetView rightToLeft="1" zoomScale="115" zoomScaleNormal="115" workbookViewId="0">
      <selection activeCell="K26" sqref="K26"/>
    </sheetView>
  </sheetViews>
  <sheetFormatPr defaultColWidth="9.140625" defaultRowHeight="18" x14ac:dyDescent="0.25"/>
  <cols>
    <col min="1" max="1" width="3.7109375" style="84" customWidth="1"/>
    <col min="2" max="2" width="19.42578125" style="84" bestFit="1" customWidth="1"/>
    <col min="3" max="13" width="9.140625" style="84"/>
    <col min="14" max="14" width="7.7109375" style="84" customWidth="1"/>
    <col min="15" max="15" width="3.7109375" style="84" customWidth="1"/>
    <col min="16" max="16384" width="9.140625" style="84"/>
  </cols>
  <sheetData>
    <row r="1" spans="1:16" x14ac:dyDescent="0.25">
      <c r="A1" s="287" t="s">
        <v>239</v>
      </c>
      <c r="B1" s="287"/>
      <c r="C1" s="287"/>
      <c r="D1" s="287"/>
      <c r="E1" s="287"/>
      <c r="F1" s="287"/>
      <c r="G1" s="287"/>
      <c r="H1" s="287"/>
      <c r="I1" s="287"/>
      <c r="J1" s="287"/>
      <c r="K1" s="287"/>
      <c r="L1" s="287"/>
      <c r="M1" s="287"/>
      <c r="N1" s="287"/>
      <c r="O1" s="287"/>
    </row>
    <row r="2" spans="1:16" ht="15" customHeight="1" thickBot="1" x14ac:dyDescent="0.3">
      <c r="A2" s="86"/>
      <c r="B2" s="86"/>
      <c r="C2" s="86"/>
      <c r="D2" s="86"/>
      <c r="E2" s="86"/>
      <c r="F2" s="86"/>
      <c r="G2" s="86"/>
      <c r="H2" s="86"/>
      <c r="I2" s="86"/>
      <c r="J2" s="86"/>
      <c r="K2" s="86"/>
      <c r="L2" s="86"/>
      <c r="M2" s="86"/>
      <c r="N2" s="86"/>
      <c r="O2" s="86"/>
    </row>
    <row r="3" spans="1:16" ht="20.100000000000001" customHeight="1" thickBot="1" x14ac:dyDescent="0.3">
      <c r="A3" s="86"/>
      <c r="B3" s="291" t="s">
        <v>238</v>
      </c>
      <c r="C3" s="292"/>
      <c r="D3" s="292"/>
      <c r="E3" s="292"/>
      <c r="F3" s="292"/>
      <c r="G3" s="292"/>
      <c r="H3" s="292"/>
      <c r="I3" s="292"/>
      <c r="J3" s="292"/>
      <c r="K3" s="292"/>
      <c r="L3" s="292"/>
      <c r="M3" s="292"/>
      <c r="N3" s="293"/>
      <c r="O3" s="86"/>
    </row>
    <row r="4" spans="1:16" ht="15" customHeight="1" thickBot="1" x14ac:dyDescent="0.3">
      <c r="A4" s="86"/>
      <c r="B4" s="86"/>
      <c r="C4" s="86"/>
      <c r="D4" s="86"/>
      <c r="E4" s="86"/>
      <c r="F4" s="86"/>
      <c r="G4" s="86"/>
      <c r="H4" s="86"/>
      <c r="I4" s="86"/>
      <c r="J4" s="86"/>
      <c r="K4" s="86"/>
      <c r="L4" s="86"/>
      <c r="M4" s="86"/>
      <c r="N4" s="86"/>
      <c r="O4" s="86"/>
    </row>
    <row r="5" spans="1:16" ht="18.75" customHeight="1" thickBot="1" x14ac:dyDescent="0.3">
      <c r="A5" s="104"/>
      <c r="B5" s="103" t="s">
        <v>65</v>
      </c>
      <c r="C5" s="290"/>
      <c r="D5" s="290"/>
      <c r="E5" s="290"/>
      <c r="F5" s="290"/>
      <c r="G5" s="290"/>
      <c r="H5" s="290"/>
      <c r="I5" s="290"/>
      <c r="J5" s="290"/>
      <c r="K5" s="102" t="s">
        <v>49</v>
      </c>
      <c r="L5" s="288"/>
      <c r="M5" s="288"/>
      <c r="N5" s="289"/>
      <c r="O5" s="86"/>
    </row>
    <row r="6" spans="1:16" ht="15" customHeight="1" thickBot="1" x14ac:dyDescent="0.3">
      <c r="A6" s="86"/>
      <c r="B6" s="86"/>
      <c r="C6" s="86"/>
      <c r="D6" s="86"/>
      <c r="E6" s="86"/>
      <c r="F6" s="86"/>
      <c r="G6" s="86"/>
      <c r="H6" s="86"/>
      <c r="I6" s="86"/>
      <c r="J6" s="86"/>
      <c r="K6" s="86"/>
      <c r="L6" s="101"/>
      <c r="M6" s="101"/>
      <c r="N6" s="101"/>
      <c r="O6" s="86"/>
    </row>
    <row r="7" spans="1:16" ht="18.75" thickBot="1" x14ac:dyDescent="0.3">
      <c r="A7" s="86"/>
      <c r="B7" s="295" t="s">
        <v>237</v>
      </c>
      <c r="C7" s="296"/>
      <c r="D7" s="296"/>
      <c r="E7" s="296"/>
      <c r="F7" s="296"/>
      <c r="G7" s="296"/>
      <c r="H7" s="296"/>
      <c r="I7" s="296"/>
      <c r="J7" s="296"/>
      <c r="K7" s="297"/>
      <c r="L7" s="101"/>
      <c r="M7" s="101"/>
      <c r="N7" s="101"/>
      <c r="O7" s="86"/>
    </row>
    <row r="8" spans="1:16" ht="18" customHeight="1" x14ac:dyDescent="0.25">
      <c r="A8" s="86"/>
      <c r="B8" s="98" t="s">
        <v>236</v>
      </c>
      <c r="C8" s="279" t="s">
        <v>235</v>
      </c>
      <c r="D8" s="279" t="s">
        <v>228</v>
      </c>
      <c r="E8" s="298" t="s">
        <v>233</v>
      </c>
      <c r="F8" s="299" t="s">
        <v>231</v>
      </c>
      <c r="G8" s="279" t="s">
        <v>227</v>
      </c>
      <c r="H8" s="279" t="s">
        <v>229</v>
      </c>
      <c r="I8" s="278" t="s">
        <v>230</v>
      </c>
      <c r="J8" s="279" t="s">
        <v>232</v>
      </c>
      <c r="K8" s="280" t="s">
        <v>234</v>
      </c>
      <c r="L8" s="86"/>
      <c r="M8" s="281">
        <f>'پمپ سیرکولاتور منبع آبگرم'!C8</f>
        <v>0</v>
      </c>
      <c r="N8" s="100" t="s">
        <v>217</v>
      </c>
      <c r="O8" s="86"/>
    </row>
    <row r="9" spans="1:16" x14ac:dyDescent="0.25">
      <c r="A9" s="86"/>
      <c r="B9" s="98" t="s">
        <v>226</v>
      </c>
      <c r="C9" s="279"/>
      <c r="D9" s="279"/>
      <c r="E9" s="298"/>
      <c r="F9" s="300"/>
      <c r="G9" s="279"/>
      <c r="H9" s="279"/>
      <c r="I9" s="278"/>
      <c r="J9" s="279"/>
      <c r="K9" s="280"/>
      <c r="L9" s="86"/>
      <c r="M9" s="282"/>
      <c r="N9" s="276" t="s">
        <v>225</v>
      </c>
      <c r="O9" s="86"/>
      <c r="P9" s="84" t="s">
        <v>235</v>
      </c>
    </row>
    <row r="10" spans="1:16" x14ac:dyDescent="0.25">
      <c r="A10" s="86"/>
      <c r="B10" s="98" t="s">
        <v>224</v>
      </c>
      <c r="C10" s="97">
        <v>2</v>
      </c>
      <c r="D10" s="97">
        <v>2</v>
      </c>
      <c r="E10" s="107">
        <v>2</v>
      </c>
      <c r="F10" s="97">
        <v>2</v>
      </c>
      <c r="G10" s="97">
        <v>2</v>
      </c>
      <c r="H10" s="97">
        <v>2</v>
      </c>
      <c r="I10" s="97">
        <v>2</v>
      </c>
      <c r="J10" s="97">
        <v>2</v>
      </c>
      <c r="K10" s="96">
        <v>2</v>
      </c>
      <c r="L10" s="104">
        <f>IF($M$8=0,0,LOOKUP($M$8,$C$8:$K$8,C10:K10))</f>
        <v>0</v>
      </c>
      <c r="M10" s="12">
        <f>'پمپ سیرکولاتور منبع آبگرم'!D10</f>
        <v>0</v>
      </c>
      <c r="N10" s="276"/>
      <c r="O10" s="86"/>
      <c r="P10" s="84" t="s">
        <v>234</v>
      </c>
    </row>
    <row r="11" spans="1:16" x14ac:dyDescent="0.25">
      <c r="A11" s="86"/>
      <c r="B11" s="98" t="s">
        <v>223</v>
      </c>
      <c r="C11" s="97">
        <v>4</v>
      </c>
      <c r="D11" s="97">
        <v>6</v>
      </c>
      <c r="E11" s="107">
        <v>6</v>
      </c>
      <c r="F11" s="97">
        <v>6</v>
      </c>
      <c r="G11" s="97">
        <v>12</v>
      </c>
      <c r="H11" s="97">
        <v>15</v>
      </c>
      <c r="I11" s="97">
        <v>0</v>
      </c>
      <c r="J11" s="97">
        <v>8</v>
      </c>
      <c r="K11" s="96">
        <v>8</v>
      </c>
      <c r="L11" s="104">
        <f t="shared" ref="L11:L19" si="0">IF($M$8=0,0,LOOKUP($M$8,$C$8:$K$8,C11:K11))</f>
        <v>0</v>
      </c>
      <c r="M11" s="12">
        <f>'پمپ سیرکولاتور منبع آبگرم'!D11</f>
        <v>0</v>
      </c>
      <c r="N11" s="276"/>
      <c r="O11" s="86"/>
      <c r="P11" s="84" t="s">
        <v>233</v>
      </c>
    </row>
    <row r="12" spans="1:16" x14ac:dyDescent="0.25">
      <c r="A12" s="86"/>
      <c r="B12" s="98" t="s">
        <v>222</v>
      </c>
      <c r="C12" s="97">
        <v>20</v>
      </c>
      <c r="D12" s="97">
        <v>20</v>
      </c>
      <c r="E12" s="107">
        <v>20</v>
      </c>
      <c r="F12" s="97">
        <v>0</v>
      </c>
      <c r="G12" s="97">
        <v>0</v>
      </c>
      <c r="H12" s="97">
        <v>0</v>
      </c>
      <c r="I12" s="97">
        <v>20</v>
      </c>
      <c r="J12" s="97">
        <v>20</v>
      </c>
      <c r="K12" s="96">
        <v>30</v>
      </c>
      <c r="L12" s="104">
        <f t="shared" si="0"/>
        <v>0</v>
      </c>
      <c r="M12" s="12">
        <f>'پمپ سیرکولاتور منبع آبگرم'!D12</f>
        <v>0</v>
      </c>
      <c r="N12" s="276"/>
      <c r="O12" s="86"/>
      <c r="P12" s="84" t="s">
        <v>232</v>
      </c>
    </row>
    <row r="13" spans="1:16" x14ac:dyDescent="0.25">
      <c r="A13" s="86"/>
      <c r="B13" s="98" t="s">
        <v>59</v>
      </c>
      <c r="C13" s="97">
        <v>30</v>
      </c>
      <c r="D13" s="97">
        <v>150</v>
      </c>
      <c r="E13" s="107">
        <v>75</v>
      </c>
      <c r="F13" s="97">
        <v>30</v>
      </c>
      <c r="G13" s="97">
        <v>225</v>
      </c>
      <c r="H13" s="97">
        <v>225</v>
      </c>
      <c r="I13" s="97">
        <v>30</v>
      </c>
      <c r="J13" s="97">
        <v>75</v>
      </c>
      <c r="K13" s="96">
        <v>225</v>
      </c>
      <c r="L13" s="104">
        <f t="shared" si="0"/>
        <v>0</v>
      </c>
      <c r="M13" s="12">
        <f>'پمپ سیرکولاتور منبع آبگرم'!D13</f>
        <v>0</v>
      </c>
      <c r="N13" s="276"/>
      <c r="O13" s="86"/>
      <c r="P13" s="84" t="s">
        <v>227</v>
      </c>
    </row>
    <row r="14" spans="1:16" x14ac:dyDescent="0.25">
      <c r="A14" s="86"/>
      <c r="B14" s="98" t="s">
        <v>1</v>
      </c>
      <c r="C14" s="97">
        <v>10</v>
      </c>
      <c r="D14" s="97">
        <v>20</v>
      </c>
      <c r="E14" s="107">
        <v>20</v>
      </c>
      <c r="F14" s="97">
        <v>20</v>
      </c>
      <c r="G14" s="97">
        <v>20</v>
      </c>
      <c r="H14" s="97">
        <v>20</v>
      </c>
      <c r="I14" s="97">
        <v>10</v>
      </c>
      <c r="J14" s="97">
        <v>30</v>
      </c>
      <c r="K14" s="96">
        <v>0</v>
      </c>
      <c r="L14" s="104">
        <f t="shared" si="0"/>
        <v>0</v>
      </c>
      <c r="M14" s="12">
        <f>'پمپ سیرکولاتور منبع آبگرم'!D14</f>
        <v>0</v>
      </c>
      <c r="N14" s="276"/>
      <c r="O14" s="86"/>
      <c r="P14" s="84" t="s">
        <v>231</v>
      </c>
    </row>
    <row r="15" spans="1:16" x14ac:dyDescent="0.25">
      <c r="A15" s="86"/>
      <c r="B15" s="98" t="s">
        <v>221</v>
      </c>
      <c r="C15" s="97">
        <v>5</v>
      </c>
      <c r="D15" s="97">
        <v>10</v>
      </c>
      <c r="E15" s="107">
        <v>10</v>
      </c>
      <c r="F15" s="97">
        <v>10</v>
      </c>
      <c r="G15" s="97">
        <v>0</v>
      </c>
      <c r="H15" s="97">
        <v>10</v>
      </c>
      <c r="I15" s="97">
        <v>5</v>
      </c>
      <c r="J15" s="97">
        <v>10</v>
      </c>
      <c r="K15" s="96">
        <v>0</v>
      </c>
      <c r="L15" s="104">
        <f t="shared" si="0"/>
        <v>0</v>
      </c>
      <c r="M15" s="12">
        <f>'پمپ سیرکولاتور منبع آبگرم'!D15</f>
        <v>0</v>
      </c>
      <c r="N15" s="276"/>
      <c r="O15" s="86"/>
      <c r="P15" s="84" t="s">
        <v>230</v>
      </c>
    </row>
    <row r="16" spans="1:16" x14ac:dyDescent="0.25">
      <c r="A16" s="86"/>
      <c r="B16" s="98" t="s">
        <v>2</v>
      </c>
      <c r="C16" s="97">
        <v>15</v>
      </c>
      <c r="D16" s="97">
        <v>100</v>
      </c>
      <c r="E16" s="107">
        <v>100</v>
      </c>
      <c r="F16" s="97">
        <v>0</v>
      </c>
      <c r="G16" s="97">
        <v>60</v>
      </c>
      <c r="H16" s="97">
        <v>60</v>
      </c>
      <c r="I16" s="97">
        <v>15</v>
      </c>
      <c r="J16" s="97">
        <v>125</v>
      </c>
      <c r="K16" s="96">
        <v>0</v>
      </c>
      <c r="L16" s="104">
        <f t="shared" si="0"/>
        <v>0</v>
      </c>
      <c r="M16" s="12">
        <f>'پمپ سیرکولاتور منبع آبگرم'!D16</f>
        <v>0</v>
      </c>
      <c r="N16" s="276"/>
      <c r="O16" s="86"/>
      <c r="P16" s="84" t="s">
        <v>229</v>
      </c>
    </row>
    <row r="17" spans="1:16" x14ac:dyDescent="0.25">
      <c r="A17" s="86"/>
      <c r="B17" s="98" t="s">
        <v>220</v>
      </c>
      <c r="C17" s="97">
        <v>5</v>
      </c>
      <c r="D17" s="97">
        <v>10</v>
      </c>
      <c r="E17" s="107">
        <v>10</v>
      </c>
      <c r="F17" s="97">
        <v>0</v>
      </c>
      <c r="G17" s="97">
        <v>0</v>
      </c>
      <c r="H17" s="97">
        <v>10</v>
      </c>
      <c r="I17" s="97">
        <v>5</v>
      </c>
      <c r="J17" s="97">
        <v>10</v>
      </c>
      <c r="K17" s="96">
        <v>0</v>
      </c>
      <c r="L17" s="104">
        <f t="shared" si="0"/>
        <v>0</v>
      </c>
      <c r="M17" s="12">
        <f>'پمپ سیرکولاتور منبع آبگرم'!D17</f>
        <v>0</v>
      </c>
      <c r="N17" s="276"/>
      <c r="O17" s="86"/>
      <c r="P17" s="84" t="s">
        <v>228</v>
      </c>
    </row>
    <row r="18" spans="1:16" x14ac:dyDescent="0.25">
      <c r="A18" s="86"/>
      <c r="B18" s="98" t="s">
        <v>219</v>
      </c>
      <c r="C18" s="97">
        <v>20</v>
      </c>
      <c r="D18" s="97">
        <v>28</v>
      </c>
      <c r="E18" s="107">
        <v>28</v>
      </c>
      <c r="F18" s="97">
        <v>0</v>
      </c>
      <c r="G18" s="97">
        <v>0</v>
      </c>
      <c r="H18" s="97">
        <v>0</v>
      </c>
      <c r="I18" s="97">
        <v>20</v>
      </c>
      <c r="J18" s="97">
        <v>28</v>
      </c>
      <c r="K18" s="96">
        <v>0</v>
      </c>
      <c r="L18" s="104">
        <f t="shared" si="0"/>
        <v>0</v>
      </c>
      <c r="M18" s="12">
        <f>'پمپ سیرکولاتور منبع آبگرم'!D18</f>
        <v>0</v>
      </c>
      <c r="N18" s="276"/>
      <c r="O18" s="86"/>
    </row>
    <row r="19" spans="1:16" ht="18.75" thickBot="1" x14ac:dyDescent="0.3">
      <c r="A19" s="86"/>
      <c r="B19" s="98" t="s">
        <v>218</v>
      </c>
      <c r="C19" s="97">
        <v>0</v>
      </c>
      <c r="D19" s="97">
        <v>0</v>
      </c>
      <c r="E19" s="107">
        <v>0</v>
      </c>
      <c r="F19" s="97">
        <v>0</v>
      </c>
      <c r="G19" s="97">
        <v>0</v>
      </c>
      <c r="H19" s="97">
        <v>0</v>
      </c>
      <c r="I19" s="97">
        <v>0</v>
      </c>
      <c r="J19" s="97">
        <v>0</v>
      </c>
      <c r="K19" s="96">
        <v>0</v>
      </c>
      <c r="L19" s="104">
        <f t="shared" si="0"/>
        <v>0</v>
      </c>
      <c r="M19" s="12">
        <f>'پمپ سیرکولاتور منبع آبگرم'!D19</f>
        <v>0</v>
      </c>
      <c r="N19" s="99" t="s">
        <v>217</v>
      </c>
      <c r="O19" s="86"/>
    </row>
    <row r="20" spans="1:16" x14ac:dyDescent="0.25">
      <c r="A20" s="86"/>
      <c r="B20" s="98" t="s">
        <v>214</v>
      </c>
      <c r="C20" s="97">
        <v>0.3</v>
      </c>
      <c r="D20" s="97">
        <v>0.3</v>
      </c>
      <c r="E20" s="107">
        <v>0.25</v>
      </c>
      <c r="F20" s="97">
        <v>0.3</v>
      </c>
      <c r="G20" s="97">
        <v>0.4</v>
      </c>
      <c r="H20" s="97">
        <v>0.4</v>
      </c>
      <c r="I20" s="97">
        <v>0.35</v>
      </c>
      <c r="J20" s="97">
        <v>0.25</v>
      </c>
      <c r="K20" s="96">
        <v>0.4</v>
      </c>
      <c r="L20" s="86"/>
      <c r="M20" s="86"/>
      <c r="N20" s="86"/>
      <c r="O20" s="86"/>
    </row>
    <row r="21" spans="1:16" ht="18.75" thickBot="1" x14ac:dyDescent="0.3">
      <c r="A21" s="86"/>
      <c r="B21" s="95" t="s">
        <v>210</v>
      </c>
      <c r="C21" s="94">
        <v>1.25</v>
      </c>
      <c r="D21" s="94">
        <v>0.9</v>
      </c>
      <c r="E21" s="108">
        <v>0.6</v>
      </c>
      <c r="F21" s="94">
        <v>2</v>
      </c>
      <c r="G21" s="94">
        <v>1</v>
      </c>
      <c r="H21" s="94">
        <v>1</v>
      </c>
      <c r="I21" s="94">
        <v>1.25</v>
      </c>
      <c r="J21" s="94">
        <v>0.8</v>
      </c>
      <c r="K21" s="93">
        <v>1</v>
      </c>
      <c r="L21" s="86"/>
      <c r="M21" s="86"/>
      <c r="N21" s="86"/>
      <c r="O21" s="86"/>
    </row>
    <row r="22" spans="1:16" ht="15" customHeight="1" thickBot="1" x14ac:dyDescent="0.3">
      <c r="A22" s="86"/>
      <c r="B22" s="86"/>
      <c r="C22" s="86"/>
      <c r="D22" s="86"/>
      <c r="E22" s="86"/>
      <c r="F22" s="86"/>
      <c r="G22" s="86"/>
      <c r="H22" s="86"/>
      <c r="I22" s="86"/>
      <c r="J22" s="86"/>
      <c r="K22" s="86"/>
      <c r="L22" s="86"/>
      <c r="M22" s="86"/>
      <c r="N22" s="86"/>
      <c r="O22" s="86"/>
    </row>
    <row r="23" spans="1:16" ht="19.5" x14ac:dyDescent="0.25">
      <c r="A23" s="86"/>
      <c r="B23" s="270" t="s">
        <v>216</v>
      </c>
      <c r="C23" s="271"/>
      <c r="D23" s="265" t="s">
        <v>10</v>
      </c>
      <c r="E23" s="260" t="s">
        <v>215</v>
      </c>
      <c r="F23" s="262"/>
      <c r="G23" s="263" t="s">
        <v>211</v>
      </c>
      <c r="H23" s="260" t="s">
        <v>214</v>
      </c>
      <c r="I23" s="286"/>
      <c r="J23" s="86"/>
      <c r="K23" s="86"/>
      <c r="L23" s="86"/>
      <c r="M23" s="86"/>
      <c r="N23" s="86"/>
      <c r="O23" s="86"/>
    </row>
    <row r="24" spans="1:16" ht="20.25" thickBot="1" x14ac:dyDescent="0.3">
      <c r="A24" s="86"/>
      <c r="B24" s="272">
        <f>E24*H24</f>
        <v>0</v>
      </c>
      <c r="C24" s="273"/>
      <c r="D24" s="266"/>
      <c r="E24" s="267">
        <f>IF(M8=C8,SUMPRODUCT(C10:C19,M10:M19),IF(M8=D8,SUMPRODUCT(D10:D19,M10:M19),IF(M8=E8,SUMPRODUCT(E10:E19,M10:M19),IF(M8=F8,SUMPRODUCT(F10:F19,M10:M19),IF(M8=G8,SUMPRODUCT(G10:G19,M10:M19),IF(M8=H8,SUMPRODUCT(H10:H19,M10:M19),IF(M8=I8,SUMPRODUCT(I10:I19,M10:M19),IF(M8=J8,SUMPRODUCT(J10:J19,M10:M19),SUMPRODUCT(K10:K19,M10:M19)))))))))</f>
        <v>0</v>
      </c>
      <c r="F24" s="269"/>
      <c r="G24" s="264"/>
      <c r="H24" s="267">
        <f>IF(M8=C8,C20,IF(M8=D8,D20,IF(M8=E8,E20,IF(M8=F8,F20,IF(M8=G8,G20,IF(M8=H8,H20,IF(M8=I8,I20,IF(M8=J8,J20,K20))))))))</f>
        <v>0.4</v>
      </c>
      <c r="I24" s="277"/>
      <c r="J24" s="86"/>
      <c r="K24" s="86"/>
      <c r="L24" s="86"/>
      <c r="M24" s="86"/>
      <c r="N24" s="86"/>
      <c r="O24" s="86"/>
    </row>
    <row r="25" spans="1:16" ht="15" customHeight="1" thickBot="1" x14ac:dyDescent="0.3">
      <c r="A25" s="86"/>
      <c r="B25" s="86"/>
      <c r="C25" s="86"/>
      <c r="D25" s="86"/>
      <c r="E25" s="86"/>
      <c r="F25" s="86"/>
      <c r="G25" s="86"/>
      <c r="H25" s="86"/>
      <c r="I25" s="86"/>
      <c r="J25" s="86"/>
      <c r="K25" s="302" t="s">
        <v>213</v>
      </c>
      <c r="L25" s="303"/>
      <c r="M25" s="304"/>
      <c r="N25" s="86"/>
      <c r="O25" s="86"/>
    </row>
    <row r="26" spans="1:16" ht="19.5" x14ac:dyDescent="0.25">
      <c r="A26" s="86"/>
      <c r="B26" s="92" t="s">
        <v>212</v>
      </c>
      <c r="C26" s="265" t="s">
        <v>10</v>
      </c>
      <c r="D26" s="260" t="s">
        <v>206</v>
      </c>
      <c r="E26" s="261"/>
      <c r="F26" s="262"/>
      <c r="G26" s="263" t="s">
        <v>211</v>
      </c>
      <c r="H26" s="260" t="s">
        <v>210</v>
      </c>
      <c r="I26" s="286"/>
      <c r="J26" s="86"/>
      <c r="K26" s="91">
        <v>8160</v>
      </c>
      <c r="L26" s="283" t="s">
        <v>10</v>
      </c>
      <c r="M26" s="90">
        <f>K26*3.78541</f>
        <v>30888.945600000003</v>
      </c>
      <c r="N26" s="86"/>
      <c r="O26" s="86"/>
    </row>
    <row r="27" spans="1:16" ht="20.25" thickBot="1" x14ac:dyDescent="0.3">
      <c r="A27" s="86"/>
      <c r="B27" s="89">
        <f>D27*H27</f>
        <v>0</v>
      </c>
      <c r="C27" s="266"/>
      <c r="D27" s="267">
        <f>B24</f>
        <v>0</v>
      </c>
      <c r="E27" s="268"/>
      <c r="F27" s="269"/>
      <c r="G27" s="264"/>
      <c r="H27" s="267">
        <f>IF(M8=C8,C21,IF(M8=D8,D21,IF(M8=E8,E21,IF(M8=F8,F21,IF(M8=G8,G21,IF(M8=H8,H21,IF(M8=I8,I21,IF(M8=J8,J21,K21))))))))</f>
        <v>1</v>
      </c>
      <c r="I27" s="277"/>
      <c r="J27" s="86"/>
      <c r="K27" s="88" t="s">
        <v>209</v>
      </c>
      <c r="L27" s="266"/>
      <c r="M27" s="87" t="s">
        <v>208</v>
      </c>
      <c r="N27" s="86"/>
      <c r="O27" s="86"/>
    </row>
    <row r="28" spans="1:16" ht="15" customHeight="1" thickBot="1" x14ac:dyDescent="0.3">
      <c r="A28" s="86"/>
      <c r="B28" s="86"/>
      <c r="C28" s="86"/>
      <c r="D28" s="86"/>
      <c r="E28" s="86"/>
      <c r="F28" s="86"/>
      <c r="G28" s="86"/>
      <c r="H28" s="86"/>
      <c r="I28" s="86"/>
      <c r="J28" s="86"/>
      <c r="K28" s="86"/>
      <c r="L28" s="86"/>
      <c r="M28" s="86"/>
      <c r="N28" s="86"/>
      <c r="O28" s="86"/>
    </row>
    <row r="29" spans="1:16" ht="18" customHeight="1" x14ac:dyDescent="0.25">
      <c r="A29" s="86"/>
      <c r="B29" s="270" t="s">
        <v>207</v>
      </c>
      <c r="C29" s="271"/>
      <c r="D29" s="265" t="s">
        <v>10</v>
      </c>
      <c r="E29" s="260" t="s">
        <v>206</v>
      </c>
      <c r="F29" s="261"/>
      <c r="G29" s="262"/>
      <c r="H29" s="263" t="s">
        <v>205</v>
      </c>
      <c r="I29" s="260" t="s">
        <v>204</v>
      </c>
      <c r="J29" s="262"/>
      <c r="K29" s="274" t="s">
        <v>203</v>
      </c>
      <c r="L29" s="260" t="s">
        <v>202</v>
      </c>
      <c r="M29" s="286"/>
      <c r="N29" s="86"/>
      <c r="O29" s="86"/>
    </row>
    <row r="30" spans="1:16" ht="18" customHeight="1" thickBot="1" x14ac:dyDescent="0.3">
      <c r="A30" s="86"/>
      <c r="B30" s="272">
        <f>E30*8.33*(L30-I30)</f>
        <v>0</v>
      </c>
      <c r="C30" s="273"/>
      <c r="D30" s="266"/>
      <c r="E30" s="267">
        <f>B24</f>
        <v>0</v>
      </c>
      <c r="F30" s="268"/>
      <c r="G30" s="269"/>
      <c r="H30" s="264"/>
      <c r="I30" s="284">
        <v>60</v>
      </c>
      <c r="J30" s="285"/>
      <c r="K30" s="275"/>
      <c r="L30" s="284">
        <v>140</v>
      </c>
      <c r="M30" s="301"/>
      <c r="N30" s="86"/>
      <c r="O30" s="86"/>
    </row>
    <row r="31" spans="1:16" ht="15" customHeight="1" x14ac:dyDescent="0.35">
      <c r="A31" s="294" t="s">
        <v>201</v>
      </c>
      <c r="B31" s="294"/>
      <c r="C31" s="294"/>
      <c r="D31" s="294"/>
      <c r="E31" s="294"/>
      <c r="F31" s="294"/>
      <c r="G31" s="294"/>
      <c r="H31" s="294"/>
      <c r="I31" s="294"/>
      <c r="J31" s="294"/>
      <c r="K31" s="294"/>
      <c r="L31" s="294"/>
      <c r="M31" s="294"/>
      <c r="N31" s="294"/>
      <c r="O31" s="294"/>
    </row>
    <row r="33" spans="8:8" ht="18" customHeight="1" x14ac:dyDescent="0.25">
      <c r="H33" s="85"/>
    </row>
    <row r="34" spans="8:8" ht="18" customHeight="1" x14ac:dyDescent="0.25">
      <c r="H34" s="85"/>
    </row>
  </sheetData>
  <sheetProtection algorithmName="SHA-512" hashValue="gut6oDN/qqlj4i1wJqidYUYI4dpcNLF9FjwIjznOt1cAjd3eaiYSlmFS4OrLDs+Tw+mZUsA7KYxieEShaamIhA==" saltValue="nJXN18pPjhg7eBSA2n9kpg==" spinCount="100000" sheet="1" formatCells="0" selectLockedCells="1"/>
  <mergeCells count="44">
    <mergeCell ref="A31:O31"/>
    <mergeCell ref="B7:K7"/>
    <mergeCell ref="B23:C23"/>
    <mergeCell ref="E23:F23"/>
    <mergeCell ref="H23:I23"/>
    <mergeCell ref="C8:C9"/>
    <mergeCell ref="D8:D9"/>
    <mergeCell ref="E8:E9"/>
    <mergeCell ref="F8:F9"/>
    <mergeCell ref="G8:G9"/>
    <mergeCell ref="L29:M29"/>
    <mergeCell ref="L30:M30"/>
    <mergeCell ref="H8:H9"/>
    <mergeCell ref="E24:F24"/>
    <mergeCell ref="H24:I24"/>
    <mergeCell ref="K25:M25"/>
    <mergeCell ref="A1:O1"/>
    <mergeCell ref="L5:N5"/>
    <mergeCell ref="C5:J5"/>
    <mergeCell ref="B24:C24"/>
    <mergeCell ref="D23:D24"/>
    <mergeCell ref="G23:G24"/>
    <mergeCell ref="B3:N3"/>
    <mergeCell ref="K29:K30"/>
    <mergeCell ref="N9:N18"/>
    <mergeCell ref="H27:I27"/>
    <mergeCell ref="I8:I9"/>
    <mergeCell ref="J8:J9"/>
    <mergeCell ref="K8:K9"/>
    <mergeCell ref="M8:M9"/>
    <mergeCell ref="L26:L27"/>
    <mergeCell ref="I30:J30"/>
    <mergeCell ref="H29:H30"/>
    <mergeCell ref="H26:I26"/>
    <mergeCell ref="D26:F26"/>
    <mergeCell ref="G26:G27"/>
    <mergeCell ref="C26:C27"/>
    <mergeCell ref="D27:F27"/>
    <mergeCell ref="I29:J29"/>
    <mergeCell ref="B29:C29"/>
    <mergeCell ref="D29:D30"/>
    <mergeCell ref="E29:G29"/>
    <mergeCell ref="E30:G30"/>
    <mergeCell ref="B30:C30"/>
  </mergeCells>
  <dataValidations count="1">
    <dataValidation type="list" allowBlank="1" showInputMessage="1" showErrorMessage="1" sqref="M8:M9" xr:uid="{00000000-0002-0000-0D00-000000000000}">
      <formula1>$C$8:$K$8</formula1>
    </dataValidation>
  </dataValidations>
  <printOptions horizontalCentered="1" verticalCentered="1"/>
  <pageMargins left="0.51181102362204722" right="0.51181102362204722" top="0.35433070866141736" bottom="0.35433070866141736"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B48"/>
  <sheetViews>
    <sheetView rightToLeft="1" topLeftCell="A4" zoomScale="145" zoomScaleNormal="145" workbookViewId="0">
      <selection activeCell="Q23" sqref="Q23"/>
    </sheetView>
  </sheetViews>
  <sheetFormatPr defaultRowHeight="18" x14ac:dyDescent="0.25"/>
  <cols>
    <col min="1" max="1" width="3" style="2" bestFit="1" customWidth="1"/>
    <col min="2" max="2" width="17.7109375" style="2" bestFit="1" customWidth="1"/>
    <col min="3" max="3" width="9.140625" style="2"/>
    <col min="4" max="4" width="9.5703125" style="2" bestFit="1" customWidth="1"/>
    <col min="5" max="6" width="9.140625" style="2"/>
    <col min="7" max="7" width="9.5703125" style="2" bestFit="1" customWidth="1"/>
    <col min="8" max="15" width="9.140625" style="2"/>
    <col min="16" max="16" width="17.7109375" style="2" bestFit="1" customWidth="1"/>
    <col min="17" max="16384" width="9.140625" style="2"/>
  </cols>
  <sheetData>
    <row r="1" spans="1:28" x14ac:dyDescent="0.25">
      <c r="O1" s="2" t="s">
        <v>168</v>
      </c>
      <c r="P1" s="1" t="s">
        <v>183</v>
      </c>
      <c r="Q1" s="1"/>
      <c r="R1" s="2" t="s">
        <v>265</v>
      </c>
    </row>
    <row r="2" spans="1:28" x14ac:dyDescent="0.25">
      <c r="C2" s="2">
        <v>1</v>
      </c>
      <c r="D2" s="2">
        <v>2</v>
      </c>
      <c r="E2" s="2">
        <v>3</v>
      </c>
      <c r="F2" s="2">
        <v>4</v>
      </c>
      <c r="G2" s="2">
        <v>5</v>
      </c>
      <c r="H2" s="2">
        <v>6</v>
      </c>
      <c r="I2" s="2">
        <v>7</v>
      </c>
      <c r="J2" s="2">
        <v>8</v>
      </c>
      <c r="K2" s="2">
        <v>9</v>
      </c>
      <c r="L2" s="2">
        <v>10</v>
      </c>
      <c r="M2" s="2">
        <v>11</v>
      </c>
      <c r="N2" s="2">
        <v>12</v>
      </c>
      <c r="O2" s="2" t="s">
        <v>169</v>
      </c>
      <c r="P2" s="1" t="s">
        <v>187</v>
      </c>
      <c r="Q2" s="1"/>
      <c r="R2" s="2" t="s">
        <v>264</v>
      </c>
    </row>
    <row r="3" spans="1:28" ht="18" customHeight="1" x14ac:dyDescent="0.25">
      <c r="B3" s="2" t="s">
        <v>142</v>
      </c>
      <c r="C3" s="2" t="s">
        <v>20</v>
      </c>
      <c r="D3" s="2" t="s">
        <v>21</v>
      </c>
      <c r="E3" s="2" t="s">
        <v>22</v>
      </c>
      <c r="F3" s="2" t="s">
        <v>23</v>
      </c>
      <c r="G3" s="2" t="s">
        <v>24</v>
      </c>
      <c r="H3" s="2" t="s">
        <v>25</v>
      </c>
      <c r="I3" s="2" t="s">
        <v>26</v>
      </c>
      <c r="J3" s="2" t="s">
        <v>27</v>
      </c>
      <c r="K3" s="2" t="s">
        <v>149</v>
      </c>
      <c r="L3" s="2" t="s">
        <v>148</v>
      </c>
      <c r="M3" s="2" t="s">
        <v>147</v>
      </c>
      <c r="N3" s="2" t="s">
        <v>146</v>
      </c>
      <c r="P3" s="2" t="s">
        <v>143</v>
      </c>
      <c r="Q3" s="2" t="s">
        <v>20</v>
      </c>
      <c r="R3" s="2" t="s">
        <v>21</v>
      </c>
      <c r="S3" s="2" t="s">
        <v>22</v>
      </c>
      <c r="T3" s="2" t="s">
        <v>23</v>
      </c>
      <c r="U3" s="2" t="s">
        <v>24</v>
      </c>
      <c r="V3" s="2" t="s">
        <v>25</v>
      </c>
      <c r="W3" s="2" t="s">
        <v>26</v>
      </c>
      <c r="X3" s="2" t="s">
        <v>27</v>
      </c>
      <c r="Y3" s="2" t="s">
        <v>138</v>
      </c>
      <c r="Z3" s="2" t="s">
        <v>139</v>
      </c>
      <c r="AA3" s="2" t="s">
        <v>140</v>
      </c>
      <c r="AB3" s="2" t="s">
        <v>141</v>
      </c>
    </row>
    <row r="4" spans="1:28" x14ac:dyDescent="0.45">
      <c r="A4" s="2">
        <v>1</v>
      </c>
      <c r="B4" s="3" t="s">
        <v>70</v>
      </c>
      <c r="C4" s="2">
        <f>Q4*0.3</f>
        <v>0.3</v>
      </c>
      <c r="D4" s="2">
        <f t="shared" ref="D4:N8" si="0">R4*0.3</f>
        <v>0.42</v>
      </c>
      <c r="E4" s="2">
        <f t="shared" si="0"/>
        <v>0.54</v>
      </c>
      <c r="F4" s="2">
        <f t="shared" si="0"/>
        <v>0.78</v>
      </c>
      <c r="G4" s="2">
        <f t="shared" si="0"/>
        <v>0.98999999999999988</v>
      </c>
      <c r="H4" s="2">
        <f t="shared" si="0"/>
        <v>1.32</v>
      </c>
      <c r="I4" s="2">
        <f t="shared" si="0"/>
        <v>1.68</v>
      </c>
      <c r="J4" s="2">
        <f t="shared" si="0"/>
        <v>2.16</v>
      </c>
      <c r="K4" s="2">
        <f t="shared" si="0"/>
        <v>3</v>
      </c>
      <c r="L4" s="2">
        <f t="shared" si="0"/>
        <v>4.2</v>
      </c>
      <c r="M4" s="2">
        <f t="shared" si="0"/>
        <v>5.7</v>
      </c>
      <c r="N4" s="2">
        <f t="shared" si="0"/>
        <v>7.1999999999999993</v>
      </c>
      <c r="P4" s="3" t="s">
        <v>70</v>
      </c>
      <c r="Q4" s="2">
        <v>1</v>
      </c>
      <c r="R4" s="2">
        <v>1.4</v>
      </c>
      <c r="S4" s="2">
        <v>1.8</v>
      </c>
      <c r="T4" s="2">
        <v>2.6</v>
      </c>
      <c r="U4" s="2">
        <v>3.3</v>
      </c>
      <c r="V4" s="2">
        <v>4.4000000000000004</v>
      </c>
      <c r="W4" s="2">
        <v>5.6</v>
      </c>
      <c r="X4" s="2">
        <v>7.2</v>
      </c>
      <c r="Y4" s="2">
        <v>10</v>
      </c>
      <c r="Z4" s="2">
        <v>14</v>
      </c>
      <c r="AA4" s="2">
        <v>19</v>
      </c>
      <c r="AB4" s="2">
        <v>24</v>
      </c>
    </row>
    <row r="5" spans="1:28" x14ac:dyDescent="0.45">
      <c r="A5" s="2">
        <v>2</v>
      </c>
      <c r="B5" s="3" t="s">
        <v>14</v>
      </c>
      <c r="C5" s="2">
        <f t="shared" ref="C5:N14" si="1">Q5*0.3</f>
        <v>0.24</v>
      </c>
      <c r="D5" s="2">
        <f t="shared" si="0"/>
        <v>0.27</v>
      </c>
      <c r="E5" s="2">
        <f t="shared" si="0"/>
        <v>0.39</v>
      </c>
      <c r="F5" s="2">
        <f t="shared" si="0"/>
        <v>0.51</v>
      </c>
      <c r="G5" s="2">
        <f t="shared" si="0"/>
        <v>0.63</v>
      </c>
      <c r="H5" s="2">
        <f t="shared" si="0"/>
        <v>0.78</v>
      </c>
      <c r="I5" s="2">
        <f t="shared" si="0"/>
        <v>0.96</v>
      </c>
      <c r="J5" s="2">
        <f t="shared" si="0"/>
        <v>1.2</v>
      </c>
      <c r="K5" s="2">
        <f t="shared" si="0"/>
        <v>1.56</v>
      </c>
      <c r="L5" s="2">
        <f t="shared" si="0"/>
        <v>1.95</v>
      </c>
      <c r="M5" s="2">
        <f t="shared" si="0"/>
        <v>2.37</v>
      </c>
      <c r="N5" s="2">
        <f t="shared" si="0"/>
        <v>3</v>
      </c>
      <c r="P5" s="3" t="s">
        <v>14</v>
      </c>
      <c r="Q5" s="2">
        <v>0.8</v>
      </c>
      <c r="R5" s="2">
        <v>0.9</v>
      </c>
      <c r="S5" s="2">
        <v>1.3</v>
      </c>
      <c r="T5" s="2">
        <v>1.7</v>
      </c>
      <c r="U5" s="2">
        <v>2.1</v>
      </c>
      <c r="V5" s="2">
        <v>2.6</v>
      </c>
      <c r="W5" s="2">
        <v>3.2</v>
      </c>
      <c r="X5" s="2">
        <v>4</v>
      </c>
      <c r="Y5" s="2">
        <v>5.2</v>
      </c>
      <c r="Z5" s="2">
        <v>6.5</v>
      </c>
      <c r="AA5" s="2">
        <v>7.9</v>
      </c>
      <c r="AB5" s="2">
        <v>10</v>
      </c>
    </row>
    <row r="6" spans="1:28" x14ac:dyDescent="0.45">
      <c r="A6" s="2">
        <v>3</v>
      </c>
      <c r="B6" s="3" t="s">
        <v>15</v>
      </c>
      <c r="C6" s="2">
        <f t="shared" si="1"/>
        <v>0.48</v>
      </c>
      <c r="D6" s="2">
        <f t="shared" si="0"/>
        <v>0.6</v>
      </c>
      <c r="E6" s="2">
        <f t="shared" si="0"/>
        <v>0.78</v>
      </c>
      <c r="F6" s="2">
        <f t="shared" si="0"/>
        <v>0.98999999999999988</v>
      </c>
      <c r="G6" s="2">
        <f t="shared" si="0"/>
        <v>1.2</v>
      </c>
      <c r="H6" s="2">
        <f t="shared" si="0"/>
        <v>1.5</v>
      </c>
      <c r="I6" s="2">
        <f t="shared" si="0"/>
        <v>1.7999999999999998</v>
      </c>
      <c r="J6" s="2">
        <f t="shared" si="0"/>
        <v>2.25</v>
      </c>
      <c r="K6" s="2">
        <f t="shared" si="0"/>
        <v>3</v>
      </c>
      <c r="L6" s="2">
        <f t="shared" si="0"/>
        <v>3.9</v>
      </c>
      <c r="M6" s="2">
        <f t="shared" si="0"/>
        <v>4.8</v>
      </c>
      <c r="N6" s="2">
        <f t="shared" si="0"/>
        <v>6</v>
      </c>
      <c r="P6" s="3" t="s">
        <v>15</v>
      </c>
      <c r="Q6" s="2">
        <v>1.6</v>
      </c>
      <c r="R6" s="2">
        <v>2</v>
      </c>
      <c r="S6" s="2">
        <v>2.6</v>
      </c>
      <c r="T6" s="2">
        <v>3.3</v>
      </c>
      <c r="U6" s="2">
        <v>4</v>
      </c>
      <c r="V6" s="2">
        <v>5</v>
      </c>
      <c r="W6" s="2">
        <v>6</v>
      </c>
      <c r="X6" s="2">
        <v>7.5</v>
      </c>
      <c r="Y6" s="2">
        <v>10</v>
      </c>
      <c r="Z6" s="2">
        <v>13</v>
      </c>
      <c r="AA6" s="2">
        <v>16</v>
      </c>
      <c r="AB6" s="2">
        <v>20</v>
      </c>
    </row>
    <row r="7" spans="1:28" x14ac:dyDescent="0.45">
      <c r="A7" s="2">
        <v>4</v>
      </c>
      <c r="B7" s="3" t="s">
        <v>16</v>
      </c>
      <c r="C7" s="2">
        <f t="shared" si="1"/>
        <v>0.3</v>
      </c>
      <c r="D7" s="2">
        <f t="shared" si="0"/>
        <v>0.42</v>
      </c>
      <c r="E7" s="2">
        <f t="shared" si="0"/>
        <v>0.51</v>
      </c>
      <c r="F7" s="2">
        <f t="shared" si="0"/>
        <v>0.69</v>
      </c>
      <c r="G7" s="2">
        <f t="shared" si="0"/>
        <v>0.78</v>
      </c>
      <c r="H7" s="2">
        <f t="shared" si="0"/>
        <v>0.98999999999999988</v>
      </c>
      <c r="I7" s="2">
        <f t="shared" si="0"/>
        <v>1.2299999999999998</v>
      </c>
      <c r="J7" s="2">
        <f t="shared" si="0"/>
        <v>1.5</v>
      </c>
      <c r="K7" s="2">
        <f t="shared" si="0"/>
        <v>2.0099999999999998</v>
      </c>
      <c r="L7" s="2">
        <f t="shared" si="0"/>
        <v>2.4599999999999995</v>
      </c>
      <c r="M7" s="2">
        <f t="shared" si="0"/>
        <v>3</v>
      </c>
      <c r="N7" s="2">
        <f t="shared" si="0"/>
        <v>3.9</v>
      </c>
      <c r="P7" s="3" t="s">
        <v>16</v>
      </c>
      <c r="Q7" s="2">
        <v>1</v>
      </c>
      <c r="R7" s="2">
        <v>1.4</v>
      </c>
      <c r="S7" s="2">
        <v>1.7</v>
      </c>
      <c r="T7" s="2">
        <v>2.2999999999999998</v>
      </c>
      <c r="U7" s="2">
        <v>2.6</v>
      </c>
      <c r="V7" s="2">
        <v>3.3</v>
      </c>
      <c r="W7" s="2">
        <v>4.0999999999999996</v>
      </c>
      <c r="X7" s="2">
        <v>5</v>
      </c>
      <c r="Y7" s="2">
        <v>6.7</v>
      </c>
      <c r="Z7" s="2">
        <v>8.1999999999999993</v>
      </c>
      <c r="AA7" s="2">
        <v>10</v>
      </c>
      <c r="AB7" s="2">
        <v>13</v>
      </c>
    </row>
    <row r="8" spans="1:28" x14ac:dyDescent="0.45">
      <c r="A8" s="2">
        <v>5</v>
      </c>
      <c r="B8" s="3" t="s">
        <v>17</v>
      </c>
      <c r="C8" s="2">
        <f t="shared" si="1"/>
        <v>0.89999999999999991</v>
      </c>
      <c r="D8" s="2">
        <f t="shared" si="0"/>
        <v>1.2</v>
      </c>
      <c r="E8" s="2">
        <f t="shared" si="0"/>
        <v>1.5</v>
      </c>
      <c r="F8" s="2">
        <f t="shared" si="0"/>
        <v>2.1</v>
      </c>
      <c r="G8" s="2">
        <f t="shared" si="0"/>
        <v>2.4</v>
      </c>
      <c r="H8" s="2">
        <f t="shared" si="0"/>
        <v>3</v>
      </c>
      <c r="I8" s="2">
        <f t="shared" si="0"/>
        <v>3.5999999999999996</v>
      </c>
      <c r="J8" s="2">
        <f t="shared" si="0"/>
        <v>4.5</v>
      </c>
      <c r="K8" s="2">
        <f t="shared" si="0"/>
        <v>6.3</v>
      </c>
      <c r="L8" s="2">
        <f t="shared" si="0"/>
        <v>7.5</v>
      </c>
      <c r="M8" s="2">
        <f t="shared" si="0"/>
        <v>9</v>
      </c>
      <c r="N8" s="2">
        <f t="shared" si="0"/>
        <v>12</v>
      </c>
      <c r="P8" s="3" t="s">
        <v>17</v>
      </c>
      <c r="Q8" s="2">
        <v>3</v>
      </c>
      <c r="R8" s="2">
        <v>4</v>
      </c>
      <c r="S8" s="2">
        <v>5</v>
      </c>
      <c r="T8" s="2">
        <v>7</v>
      </c>
      <c r="U8" s="2">
        <v>8</v>
      </c>
      <c r="V8" s="2">
        <v>10</v>
      </c>
      <c r="W8" s="2">
        <v>12</v>
      </c>
      <c r="X8" s="2">
        <v>15</v>
      </c>
      <c r="Y8" s="2">
        <v>21</v>
      </c>
      <c r="Z8" s="2">
        <v>25</v>
      </c>
      <c r="AA8" s="2">
        <v>30</v>
      </c>
      <c r="AB8" s="2">
        <v>40</v>
      </c>
    </row>
    <row r="9" spans="1:28" x14ac:dyDescent="0.45">
      <c r="A9" s="2">
        <v>6</v>
      </c>
      <c r="B9" s="3" t="s">
        <v>18</v>
      </c>
      <c r="C9" s="2">
        <v>0.24</v>
      </c>
      <c r="D9" s="2">
        <v>0.33</v>
      </c>
      <c r="E9" s="2">
        <v>0.45</v>
      </c>
      <c r="F9" s="2">
        <v>0.56999999999999995</v>
      </c>
      <c r="G9" s="2">
        <v>0.67</v>
      </c>
      <c r="H9" s="2">
        <v>0.91</v>
      </c>
      <c r="I9" s="2">
        <v>1.1200000000000001</v>
      </c>
      <c r="J9" s="2">
        <v>1.37</v>
      </c>
      <c r="K9" s="2">
        <v>0</v>
      </c>
      <c r="L9" s="2">
        <v>0</v>
      </c>
      <c r="M9" s="2">
        <v>0</v>
      </c>
      <c r="N9" s="2">
        <v>0</v>
      </c>
      <c r="P9" s="3" t="s">
        <v>18</v>
      </c>
    </row>
    <row r="10" spans="1:28" x14ac:dyDescent="0.45">
      <c r="A10" s="2">
        <v>7</v>
      </c>
      <c r="B10" s="3" t="s">
        <v>8</v>
      </c>
      <c r="C10" s="2">
        <f t="shared" si="1"/>
        <v>0.21</v>
      </c>
      <c r="D10" s="2">
        <f t="shared" si="1"/>
        <v>0.27</v>
      </c>
      <c r="E10" s="2">
        <f t="shared" si="1"/>
        <v>0.3</v>
      </c>
      <c r="F10" s="2">
        <f t="shared" si="1"/>
        <v>0.44999999999999996</v>
      </c>
      <c r="G10" s="2">
        <f t="shared" si="1"/>
        <v>0.54</v>
      </c>
      <c r="H10" s="2">
        <f t="shared" si="1"/>
        <v>0.69</v>
      </c>
      <c r="I10" s="2">
        <f t="shared" si="1"/>
        <v>0.84</v>
      </c>
      <c r="J10" s="2">
        <f t="shared" si="1"/>
        <v>0.96</v>
      </c>
      <c r="K10" s="2">
        <f t="shared" si="1"/>
        <v>1.3499999999999999</v>
      </c>
      <c r="L10" s="2">
        <f t="shared" si="1"/>
        <v>1.7999999999999998</v>
      </c>
      <c r="M10" s="2">
        <f t="shared" si="1"/>
        <v>2.1</v>
      </c>
      <c r="N10" s="2">
        <f t="shared" si="1"/>
        <v>2.6999999999999997</v>
      </c>
      <c r="P10" s="3" t="s">
        <v>8</v>
      </c>
      <c r="Q10" s="2">
        <v>0.7</v>
      </c>
      <c r="R10" s="2">
        <v>0.9</v>
      </c>
      <c r="S10" s="2">
        <v>1</v>
      </c>
      <c r="T10" s="2">
        <v>1.5</v>
      </c>
      <c r="U10" s="2">
        <v>1.8</v>
      </c>
      <c r="V10" s="2">
        <v>2.2999999999999998</v>
      </c>
      <c r="W10" s="2">
        <v>2.8</v>
      </c>
      <c r="X10" s="2">
        <v>3.2</v>
      </c>
      <c r="Y10" s="2">
        <v>4.5</v>
      </c>
      <c r="Z10" s="2">
        <v>6</v>
      </c>
      <c r="AA10" s="2">
        <v>7</v>
      </c>
      <c r="AB10" s="2">
        <v>9</v>
      </c>
    </row>
    <row r="11" spans="1:28" x14ac:dyDescent="0.45">
      <c r="A11" s="2">
        <v>8</v>
      </c>
      <c r="B11" s="3" t="s">
        <v>6</v>
      </c>
      <c r="C11" s="2">
        <f t="shared" si="1"/>
        <v>5.3999999999999995</v>
      </c>
      <c r="D11" s="2">
        <f t="shared" si="1"/>
        <v>6.6</v>
      </c>
      <c r="E11" s="2">
        <f t="shared" si="1"/>
        <v>8.6999999999999993</v>
      </c>
      <c r="F11" s="2">
        <f t="shared" si="1"/>
        <v>11.4</v>
      </c>
      <c r="G11" s="2">
        <f t="shared" si="1"/>
        <v>12.9</v>
      </c>
      <c r="H11" s="2">
        <f t="shared" si="1"/>
        <v>16.5</v>
      </c>
      <c r="I11" s="2">
        <f t="shared" si="1"/>
        <v>20.7</v>
      </c>
      <c r="J11" s="2">
        <f t="shared" si="1"/>
        <v>25.2</v>
      </c>
      <c r="K11" s="2">
        <f t="shared" si="1"/>
        <v>36</v>
      </c>
      <c r="L11" s="2">
        <f t="shared" si="1"/>
        <v>42</v>
      </c>
      <c r="M11" s="2">
        <f t="shared" si="1"/>
        <v>51</v>
      </c>
      <c r="N11" s="2">
        <f t="shared" si="1"/>
        <v>66</v>
      </c>
      <c r="P11" s="3" t="s">
        <v>6</v>
      </c>
      <c r="Q11" s="2">
        <v>18</v>
      </c>
      <c r="R11" s="2">
        <v>22</v>
      </c>
      <c r="S11" s="2">
        <v>29</v>
      </c>
      <c r="T11" s="2">
        <v>38</v>
      </c>
      <c r="U11" s="2">
        <v>43</v>
      </c>
      <c r="V11" s="2">
        <v>55</v>
      </c>
      <c r="W11" s="2">
        <v>69</v>
      </c>
      <c r="X11" s="2">
        <v>84</v>
      </c>
      <c r="Y11" s="2">
        <v>120</v>
      </c>
      <c r="Z11" s="2">
        <v>140</v>
      </c>
      <c r="AA11" s="2">
        <v>170</v>
      </c>
      <c r="AB11" s="2">
        <v>220</v>
      </c>
    </row>
    <row r="12" spans="1:28" ht="18" customHeight="1" x14ac:dyDescent="0.45">
      <c r="A12" s="2">
        <v>9</v>
      </c>
      <c r="B12" s="3" t="s">
        <v>19</v>
      </c>
      <c r="C12" s="2">
        <f t="shared" si="1"/>
        <v>2.1</v>
      </c>
      <c r="D12" s="2">
        <f t="shared" si="1"/>
        <v>2.6999999999999997</v>
      </c>
      <c r="E12" s="2">
        <f t="shared" si="1"/>
        <v>3.5999999999999996</v>
      </c>
      <c r="F12" s="2">
        <f t="shared" si="1"/>
        <v>4.5</v>
      </c>
      <c r="G12" s="2">
        <f t="shared" si="1"/>
        <v>5.3999999999999995</v>
      </c>
      <c r="H12" s="2">
        <f t="shared" si="1"/>
        <v>7.1999999999999993</v>
      </c>
      <c r="I12" s="2">
        <f t="shared" si="1"/>
        <v>8.6999999999999993</v>
      </c>
      <c r="J12" s="2">
        <f t="shared" si="1"/>
        <v>10.5</v>
      </c>
      <c r="K12" s="2">
        <f t="shared" si="1"/>
        <v>14.1</v>
      </c>
      <c r="L12" s="2">
        <f t="shared" si="1"/>
        <v>17.399999999999999</v>
      </c>
      <c r="M12" s="2">
        <f t="shared" si="1"/>
        <v>21</v>
      </c>
      <c r="N12" s="2">
        <f t="shared" si="1"/>
        <v>25.5</v>
      </c>
      <c r="P12" s="3" t="s">
        <v>19</v>
      </c>
      <c r="Q12" s="2">
        <v>7</v>
      </c>
      <c r="R12" s="2">
        <v>9</v>
      </c>
      <c r="S12" s="2">
        <v>12</v>
      </c>
      <c r="T12" s="2">
        <v>15</v>
      </c>
      <c r="U12" s="2">
        <v>18</v>
      </c>
      <c r="V12" s="2">
        <v>24</v>
      </c>
      <c r="W12" s="2">
        <v>29</v>
      </c>
      <c r="X12" s="2">
        <v>35</v>
      </c>
      <c r="Y12" s="2">
        <v>47</v>
      </c>
      <c r="Z12" s="2">
        <v>58</v>
      </c>
      <c r="AA12" s="2">
        <v>70</v>
      </c>
      <c r="AB12" s="2">
        <v>85</v>
      </c>
    </row>
    <row r="13" spans="1:28" x14ac:dyDescent="0.45">
      <c r="A13" s="2">
        <v>10</v>
      </c>
      <c r="B13" s="3" t="s">
        <v>11</v>
      </c>
      <c r="C13" s="2">
        <f t="shared" si="1"/>
        <v>1.7999999999999998</v>
      </c>
      <c r="D13" s="2">
        <f t="shared" si="1"/>
        <v>2.4</v>
      </c>
      <c r="E13" s="2">
        <f t="shared" si="1"/>
        <v>3</v>
      </c>
      <c r="F13" s="2">
        <f t="shared" si="1"/>
        <v>4.2</v>
      </c>
      <c r="G13" s="2">
        <f t="shared" si="1"/>
        <v>4.8</v>
      </c>
      <c r="H13" s="2">
        <f t="shared" si="1"/>
        <v>6</v>
      </c>
      <c r="I13" s="2">
        <f t="shared" si="1"/>
        <v>7.5</v>
      </c>
      <c r="J13" s="2">
        <f t="shared" si="1"/>
        <v>9</v>
      </c>
      <c r="K13" s="2">
        <f t="shared" si="1"/>
        <v>12</v>
      </c>
      <c r="L13" s="2">
        <f t="shared" si="1"/>
        <v>15</v>
      </c>
      <c r="M13" s="2">
        <f t="shared" si="1"/>
        <v>18</v>
      </c>
      <c r="N13" s="2">
        <f t="shared" si="1"/>
        <v>24</v>
      </c>
      <c r="P13" s="3" t="s">
        <v>11</v>
      </c>
      <c r="Q13" s="2">
        <v>6</v>
      </c>
      <c r="R13" s="2">
        <v>8</v>
      </c>
      <c r="S13" s="2">
        <v>10</v>
      </c>
      <c r="T13" s="2">
        <v>14</v>
      </c>
      <c r="U13" s="2">
        <v>16</v>
      </c>
      <c r="V13" s="2">
        <v>20</v>
      </c>
      <c r="W13" s="2">
        <v>25</v>
      </c>
      <c r="X13" s="2">
        <v>30</v>
      </c>
      <c r="Y13" s="2">
        <v>40</v>
      </c>
      <c r="Z13" s="2">
        <v>50</v>
      </c>
      <c r="AA13" s="2">
        <v>60</v>
      </c>
      <c r="AB13" s="2">
        <v>80</v>
      </c>
    </row>
    <row r="14" spans="1:28" x14ac:dyDescent="0.45">
      <c r="A14" s="2">
        <v>11</v>
      </c>
      <c r="B14" s="3" t="s">
        <v>69</v>
      </c>
      <c r="C14" s="2">
        <f t="shared" si="1"/>
        <v>0.54</v>
      </c>
      <c r="D14" s="2">
        <f t="shared" si="1"/>
        <v>0.84</v>
      </c>
      <c r="E14" s="2">
        <f t="shared" si="1"/>
        <v>1.1100000000000001</v>
      </c>
      <c r="F14" s="2">
        <f t="shared" si="1"/>
        <v>1.5899999999999999</v>
      </c>
      <c r="G14" s="2">
        <f t="shared" si="1"/>
        <v>1.9799999999999998</v>
      </c>
      <c r="H14" s="2">
        <f t="shared" si="1"/>
        <v>2.6999999999999997</v>
      </c>
      <c r="I14" s="2">
        <f t="shared" si="1"/>
        <v>3.5999999999999996</v>
      </c>
      <c r="J14" s="2">
        <f t="shared" si="1"/>
        <v>4.2</v>
      </c>
      <c r="K14" s="2">
        <f t="shared" si="1"/>
        <v>6</v>
      </c>
      <c r="L14" s="2">
        <f t="shared" si="1"/>
        <v>8.1</v>
      </c>
      <c r="M14" s="2">
        <f t="shared" si="1"/>
        <v>9.9</v>
      </c>
      <c r="N14" s="2">
        <f t="shared" si="1"/>
        <v>14.1</v>
      </c>
      <c r="P14" s="3" t="s">
        <v>69</v>
      </c>
      <c r="Q14" s="2">
        <v>1.8</v>
      </c>
      <c r="R14" s="2">
        <v>2.8</v>
      </c>
      <c r="S14" s="2">
        <v>3.7</v>
      </c>
      <c r="T14" s="2">
        <v>5.3</v>
      </c>
      <c r="U14" s="2">
        <v>6.6</v>
      </c>
      <c r="V14" s="2">
        <v>9</v>
      </c>
      <c r="W14" s="2">
        <v>12</v>
      </c>
      <c r="X14" s="2">
        <v>14</v>
      </c>
      <c r="Y14" s="2">
        <v>20</v>
      </c>
      <c r="Z14" s="2">
        <v>27</v>
      </c>
      <c r="AA14" s="2">
        <v>33</v>
      </c>
      <c r="AB14" s="2">
        <v>47</v>
      </c>
    </row>
    <row r="15" spans="1:28" ht="18.75" thickBot="1" x14ac:dyDescent="0.5">
      <c r="B15" s="3" t="s">
        <v>267</v>
      </c>
      <c r="C15" s="2">
        <v>8</v>
      </c>
      <c r="D15" s="2">
        <v>15</v>
      </c>
      <c r="E15" s="2">
        <v>22</v>
      </c>
      <c r="F15" s="2">
        <v>38</v>
      </c>
      <c r="G15" s="2">
        <v>42</v>
      </c>
      <c r="H15" s="2">
        <v>70</v>
      </c>
      <c r="I15" s="2">
        <v>110</v>
      </c>
      <c r="J15" s="2">
        <v>160</v>
      </c>
      <c r="K15" s="2">
        <v>260</v>
      </c>
      <c r="L15" s="2">
        <v>400</v>
      </c>
      <c r="M15" s="2">
        <v>570</v>
      </c>
      <c r="N15" s="2">
        <v>950</v>
      </c>
      <c r="P15" s="3"/>
    </row>
    <row r="16" spans="1:28" x14ac:dyDescent="0.45">
      <c r="B16" s="316" t="s">
        <v>150</v>
      </c>
      <c r="C16" s="317"/>
      <c r="D16" s="318"/>
      <c r="F16" s="319" t="s">
        <v>152</v>
      </c>
      <c r="G16" s="320"/>
      <c r="H16" s="320"/>
      <c r="I16" s="321"/>
      <c r="K16" s="313" t="s">
        <v>153</v>
      </c>
      <c r="L16" s="314"/>
      <c r="M16" s="314"/>
      <c r="N16" s="315"/>
      <c r="P16" s="131" t="s">
        <v>285</v>
      </c>
      <c r="Q16" s="2">
        <v>30</v>
      </c>
    </row>
    <row r="17" spans="2:18" x14ac:dyDescent="0.45">
      <c r="B17" s="45">
        <f>'پمپ سیرکولاتور گرمایش-سرمایش'!B20:C20</f>
        <v>0</v>
      </c>
      <c r="C17" s="46">
        <f>'پمپ سیرکولاتور گرمایش-سرمایش'!D20</f>
        <v>0</v>
      </c>
      <c r="D17" s="47">
        <f>IF(OR(B17=0,C17=0),0,(INDEX($C$4:$N$14,(LOOKUP(B17,$B$4:$B$14,$A$4:$A$14)),(LOOKUP(C17,$C$3:$N$3,$C$2:$N$2)))))</f>
        <v>0</v>
      </c>
      <c r="F17" s="311">
        <f>'پمپ سیرکولاتور منبع آبگرم'!B29</f>
        <v>0</v>
      </c>
      <c r="G17" s="312"/>
      <c r="H17" s="39">
        <f>'پمپ سیرکولاتور منبع آبگرم'!D29</f>
        <v>0</v>
      </c>
      <c r="I17" s="40">
        <f>IF(OR(F17=0,H17=0),0,(INDEX($C$4:$N$14,(LOOKUP(F17,$B$4:$B$14,$A$4:$A$14)),(LOOKUP(H17,$C$3:$N$3,$C$2:$N$2)))))</f>
        <v>0</v>
      </c>
      <c r="K17" s="305">
        <f>'پمپ سیرکولاتور برگشت آبگرم'!B22</f>
        <v>0</v>
      </c>
      <c r="L17" s="306"/>
      <c r="M17" s="41">
        <f>'پمپ سیرکولاتور برگشت آبگرم'!D22</f>
        <v>0</v>
      </c>
      <c r="N17" s="42">
        <f>IF(OR(K17=0,M17=0),0,(INDEX($C$4:$N$14,(LOOKUP(K17,$B$4:$B$14,$A$4:$A$14)),(LOOKUP(M17,$C$3:$N$3,$C$2:$N$2)))))</f>
        <v>0</v>
      </c>
      <c r="P17" s="2" t="s">
        <v>280</v>
      </c>
      <c r="Q17" s="2">
        <v>60</v>
      </c>
    </row>
    <row r="18" spans="2:18" x14ac:dyDescent="0.45">
      <c r="B18" s="45">
        <f>'پمپ سیرکولاتور گرمایش-سرمایش'!B21:C21</f>
        <v>0</v>
      </c>
      <c r="C18" s="46">
        <f>'پمپ سیرکولاتور گرمایش-سرمایش'!D21</f>
        <v>0</v>
      </c>
      <c r="D18" s="47">
        <f t="shared" ref="D18:D34" si="2">IF(OR(B18=0,C18=0),0,(INDEX($C$4:$N$14,(LOOKUP(B18,$B$4:$B$14,$A$4:$A$14)),(LOOKUP(C18,$C$3:$N$3,$C$2:$N$2)))))</f>
        <v>0</v>
      </c>
      <c r="F18" s="311">
        <f>'پمپ سیرکولاتور منبع آبگرم'!B30</f>
        <v>0</v>
      </c>
      <c r="G18" s="312"/>
      <c r="H18" s="39">
        <f>'پمپ سیرکولاتور منبع آبگرم'!D30</f>
        <v>0</v>
      </c>
      <c r="I18" s="40">
        <f t="shared" ref="I18:I26" si="3">IF(OR(F18=0,H18=0),0,(INDEX($C$4:$N$14,(LOOKUP(F18,$B$4:$B$14,$A$4:$A$14)),(LOOKUP(H18,$C$3:$N$3,$C$2:$N$2)))))</f>
        <v>0</v>
      </c>
      <c r="K18" s="305">
        <f>'پمپ سیرکولاتور برگشت آبگرم'!B23</f>
        <v>0</v>
      </c>
      <c r="L18" s="306"/>
      <c r="M18" s="41">
        <f>'پمپ سیرکولاتور برگشت آبگرم'!D23</f>
        <v>0</v>
      </c>
      <c r="N18" s="42">
        <f t="shared" ref="N18:N31" si="4">IF(OR(K18=0,M18=0),0,(INDEX($C$4:$N$14,(LOOKUP(K18,$B$4:$B$14,$A$4:$A$14)),(LOOKUP(M18,$C$3:$N$3,$C$2:$N$2)))))</f>
        <v>0</v>
      </c>
      <c r="P18" s="132">
        <f>'پمپ سیرکولاتور برگشت آبگرم'!G8</f>
        <v>0</v>
      </c>
      <c r="Q18" s="2">
        <f>IF(P18=P16,30,60)</f>
        <v>60</v>
      </c>
      <c r="R18" s="2" t="s">
        <v>286</v>
      </c>
    </row>
    <row r="19" spans="2:18" x14ac:dyDescent="0.45">
      <c r="B19" s="45">
        <f>'پمپ سیرکولاتور گرمایش-سرمایش'!B22:C22</f>
        <v>0</v>
      </c>
      <c r="C19" s="46">
        <f>'پمپ سیرکولاتور گرمایش-سرمایش'!D22</f>
        <v>0</v>
      </c>
      <c r="D19" s="47">
        <f t="shared" si="2"/>
        <v>0</v>
      </c>
      <c r="F19" s="311">
        <f>'پمپ سیرکولاتور منبع آبگرم'!B31</f>
        <v>0</v>
      </c>
      <c r="G19" s="312"/>
      <c r="H19" s="39">
        <f>'پمپ سیرکولاتور منبع آبگرم'!D31</f>
        <v>0</v>
      </c>
      <c r="I19" s="40">
        <f t="shared" si="3"/>
        <v>0</v>
      </c>
      <c r="K19" s="305">
        <f>'پمپ سیرکولاتور برگشت آبگرم'!B24</f>
        <v>0</v>
      </c>
      <c r="L19" s="306"/>
      <c r="M19" s="41">
        <f>'پمپ سیرکولاتور برگشت آبگرم'!D24</f>
        <v>0</v>
      </c>
      <c r="N19" s="42">
        <f t="shared" si="4"/>
        <v>0</v>
      </c>
      <c r="P19" s="2" t="s">
        <v>265</v>
      </c>
      <c r="Q19" s="2">
        <v>10</v>
      </c>
    </row>
    <row r="20" spans="2:18" x14ac:dyDescent="0.45">
      <c r="B20" s="45">
        <f>'پمپ سیرکولاتور گرمایش-سرمایش'!B23:C23</f>
        <v>0</v>
      </c>
      <c r="C20" s="46">
        <f>'پمپ سیرکولاتور گرمایش-سرمایش'!D23</f>
        <v>0</v>
      </c>
      <c r="D20" s="47">
        <f t="shared" si="2"/>
        <v>0</v>
      </c>
      <c r="F20" s="311">
        <f>'پمپ سیرکولاتور منبع آبگرم'!B32</f>
        <v>0</v>
      </c>
      <c r="G20" s="312"/>
      <c r="H20" s="39">
        <f>'پمپ سیرکولاتور منبع آبگرم'!D32</f>
        <v>0</v>
      </c>
      <c r="I20" s="40">
        <f t="shared" si="3"/>
        <v>0</v>
      </c>
      <c r="K20" s="305">
        <f>'پمپ سیرکولاتور برگشت آبگرم'!B25</f>
        <v>0</v>
      </c>
      <c r="L20" s="306"/>
      <c r="M20" s="41">
        <f>'پمپ سیرکولاتور برگشت آبگرم'!D25</f>
        <v>0</v>
      </c>
      <c r="N20" s="42">
        <f t="shared" si="4"/>
        <v>0</v>
      </c>
      <c r="P20" s="2" t="s">
        <v>264</v>
      </c>
      <c r="Q20" s="2">
        <f>'پمپ سیرکولاتور برگشت آبگرم'!I9</f>
        <v>0</v>
      </c>
    </row>
    <row r="21" spans="2:18" x14ac:dyDescent="0.45">
      <c r="B21" s="45">
        <f>'پمپ سیرکولاتور گرمایش-سرمایش'!B24:C24</f>
        <v>0</v>
      </c>
      <c r="C21" s="46">
        <f>'پمپ سیرکولاتور گرمایش-سرمایش'!D24</f>
        <v>0</v>
      </c>
      <c r="D21" s="47">
        <f t="shared" si="2"/>
        <v>0</v>
      </c>
      <c r="F21" s="311">
        <f>'پمپ سیرکولاتور منبع آبگرم'!B33</f>
        <v>0</v>
      </c>
      <c r="G21" s="312"/>
      <c r="H21" s="39">
        <f>'پمپ سیرکولاتور منبع آبگرم'!D33</f>
        <v>0</v>
      </c>
      <c r="I21" s="40">
        <f t="shared" si="3"/>
        <v>0</v>
      </c>
      <c r="K21" s="305">
        <f>'پمپ سیرکولاتور برگشت آبگرم'!B26</f>
        <v>0</v>
      </c>
      <c r="L21" s="306"/>
      <c r="M21" s="41">
        <f>'پمپ سیرکولاتور برگشت آبگرم'!D26</f>
        <v>0</v>
      </c>
      <c r="N21" s="42">
        <f t="shared" si="4"/>
        <v>0</v>
      </c>
      <c r="P21" s="132" t="str">
        <f>'پمپ سیرکولاتور برگشت آبگرم'!F9</f>
        <v>مقدار پیش فرض</v>
      </c>
      <c r="Q21" s="2">
        <f>IF(P21=P19,Q19,Q20)</f>
        <v>10</v>
      </c>
      <c r="R21" s="2" t="s">
        <v>287</v>
      </c>
    </row>
    <row r="22" spans="2:18" x14ac:dyDescent="0.45">
      <c r="B22" s="45">
        <f>'پمپ سیرکولاتور گرمایش-سرمایش'!B25:C25</f>
        <v>0</v>
      </c>
      <c r="C22" s="46">
        <f>'پمپ سیرکولاتور گرمایش-سرمایش'!D25</f>
        <v>0</v>
      </c>
      <c r="D22" s="47">
        <f t="shared" si="2"/>
        <v>0</v>
      </c>
      <c r="F22" s="311">
        <f>'پمپ سیرکولاتور منبع آبگرم'!B34</f>
        <v>0</v>
      </c>
      <c r="G22" s="312"/>
      <c r="H22" s="39">
        <f>'پمپ سیرکولاتور منبع آبگرم'!D34</f>
        <v>0</v>
      </c>
      <c r="I22" s="40">
        <f t="shared" si="3"/>
        <v>0</v>
      </c>
      <c r="K22" s="305">
        <f>'پمپ سیرکولاتور برگشت آبگرم'!B27</f>
        <v>0</v>
      </c>
      <c r="L22" s="306"/>
      <c r="M22" s="41">
        <f>'پمپ سیرکولاتور برگشت آبگرم'!D27</f>
        <v>0</v>
      </c>
      <c r="N22" s="42">
        <f t="shared" si="4"/>
        <v>0</v>
      </c>
      <c r="P22" s="132" t="s">
        <v>288</v>
      </c>
      <c r="Q22" s="2">
        <f>'پمپ سیرکولاتور برگشت آبگرم'!K10</f>
        <v>0</v>
      </c>
      <c r="R22" s="2" t="s">
        <v>289</v>
      </c>
    </row>
    <row r="23" spans="2:18" x14ac:dyDescent="0.45">
      <c r="B23" s="45">
        <f>'پمپ سیرکولاتور گرمایش-سرمایش'!B26:C26</f>
        <v>0</v>
      </c>
      <c r="C23" s="46">
        <f>'پمپ سیرکولاتور گرمایش-سرمایش'!D26</f>
        <v>0</v>
      </c>
      <c r="D23" s="47">
        <f t="shared" si="2"/>
        <v>0</v>
      </c>
      <c r="F23" s="311">
        <f>'پمپ سیرکولاتور منبع آبگرم'!B35</f>
        <v>0</v>
      </c>
      <c r="G23" s="312"/>
      <c r="H23" s="39">
        <f>'پمپ سیرکولاتور منبع آبگرم'!D35</f>
        <v>0</v>
      </c>
      <c r="I23" s="40">
        <f t="shared" si="3"/>
        <v>0</v>
      </c>
      <c r="K23" s="305">
        <f>'پمپ سیرکولاتور برگشت آبگرم'!B28</f>
        <v>0</v>
      </c>
      <c r="L23" s="306"/>
      <c r="M23" s="41">
        <f>'پمپ سیرکولاتور برگشت آبگرم'!D28</f>
        <v>0</v>
      </c>
      <c r="N23" s="42">
        <f t="shared" si="4"/>
        <v>0</v>
      </c>
      <c r="Q23" s="2">
        <f>(Q18*Q22*3.28)/(500*Q21)</f>
        <v>0</v>
      </c>
    </row>
    <row r="24" spans="2:18" x14ac:dyDescent="0.45">
      <c r="B24" s="45">
        <f>'پمپ سیرکولاتور گرمایش-سرمایش'!B27:C27</f>
        <v>0</v>
      </c>
      <c r="C24" s="46">
        <f>'پمپ سیرکولاتور گرمایش-سرمایش'!D27</f>
        <v>0</v>
      </c>
      <c r="D24" s="47">
        <f t="shared" si="2"/>
        <v>0</v>
      </c>
      <c r="F24" s="311">
        <f>'پمپ سیرکولاتور منبع آبگرم'!B36</f>
        <v>0</v>
      </c>
      <c r="G24" s="312"/>
      <c r="H24" s="39">
        <f>'پمپ سیرکولاتور منبع آبگرم'!D36</f>
        <v>0</v>
      </c>
      <c r="I24" s="40">
        <f t="shared" si="3"/>
        <v>0</v>
      </c>
      <c r="K24" s="305">
        <f>'پمپ سیرکولاتور برگشت آبگرم'!B29</f>
        <v>0</v>
      </c>
      <c r="L24" s="306"/>
      <c r="M24" s="41">
        <f>'پمپ سیرکولاتور برگشت آبگرم'!D29</f>
        <v>0</v>
      </c>
      <c r="N24" s="42">
        <f t="shared" si="4"/>
        <v>0</v>
      </c>
    </row>
    <row r="25" spans="2:18" x14ac:dyDescent="0.45">
      <c r="B25" s="45">
        <f>'پمپ سیرکولاتور گرمایش-سرمایش'!B28:C28</f>
        <v>0</v>
      </c>
      <c r="C25" s="46">
        <f>'پمپ سیرکولاتور گرمایش-سرمایش'!D28</f>
        <v>0</v>
      </c>
      <c r="D25" s="47">
        <f t="shared" si="2"/>
        <v>0</v>
      </c>
      <c r="F25" s="311">
        <f>'پمپ سیرکولاتور منبع آبگرم'!B37</f>
        <v>0</v>
      </c>
      <c r="G25" s="312"/>
      <c r="H25" s="39">
        <f>'پمپ سیرکولاتور منبع آبگرم'!D37</f>
        <v>0</v>
      </c>
      <c r="I25" s="40">
        <f t="shared" si="3"/>
        <v>0</v>
      </c>
      <c r="K25" s="305">
        <f>'پمپ سیرکولاتور برگشت آبگرم'!B30</f>
        <v>0</v>
      </c>
      <c r="L25" s="306"/>
      <c r="M25" s="41">
        <f>'پمپ سیرکولاتور برگشت آبگرم'!D30</f>
        <v>0</v>
      </c>
      <c r="N25" s="42">
        <f t="shared" si="4"/>
        <v>0</v>
      </c>
    </row>
    <row r="26" spans="2:18" x14ac:dyDescent="0.45">
      <c r="B26" s="45">
        <f>'پمپ سیرکولاتور گرمایش-سرمایش'!B29:C29</f>
        <v>0</v>
      </c>
      <c r="C26" s="46">
        <f>'پمپ سیرکولاتور گرمایش-سرمایش'!D29</f>
        <v>0</v>
      </c>
      <c r="D26" s="47">
        <f t="shared" si="2"/>
        <v>0</v>
      </c>
      <c r="F26" s="311">
        <f>'پمپ سیرکولاتور منبع آبگرم'!B38</f>
        <v>0</v>
      </c>
      <c r="G26" s="312"/>
      <c r="H26" s="39">
        <f>'پمپ سیرکولاتور منبع آبگرم'!D38</f>
        <v>0</v>
      </c>
      <c r="I26" s="40">
        <f t="shared" si="3"/>
        <v>0</v>
      </c>
      <c r="K26" s="305">
        <f>'پمپ سیرکولاتور برگشت آبگرم'!B31</f>
        <v>0</v>
      </c>
      <c r="L26" s="306"/>
      <c r="M26" s="41">
        <f>'پمپ سیرکولاتور برگشت آبگرم'!D31</f>
        <v>0</v>
      </c>
      <c r="N26" s="42">
        <f t="shared" si="4"/>
        <v>0</v>
      </c>
    </row>
    <row r="27" spans="2:18" x14ac:dyDescent="0.45">
      <c r="B27" s="45">
        <f>'پمپ سیرکولاتور گرمایش-سرمایش'!B30:C30</f>
        <v>0</v>
      </c>
      <c r="C27" s="46">
        <f>'پمپ سیرکولاتور گرمایش-سرمایش'!D30</f>
        <v>0</v>
      </c>
      <c r="D27" s="47">
        <f t="shared" si="2"/>
        <v>0</v>
      </c>
      <c r="F27" s="309"/>
      <c r="G27" s="310"/>
      <c r="H27" s="123"/>
      <c r="I27" s="124"/>
      <c r="K27" s="305">
        <f>'پمپ سیرکولاتور برگشت آبگرم'!B32</f>
        <v>0</v>
      </c>
      <c r="L27" s="306"/>
      <c r="M27" s="41">
        <f>'پمپ سیرکولاتور برگشت آبگرم'!D32</f>
        <v>0</v>
      </c>
      <c r="N27" s="42">
        <f t="shared" si="4"/>
        <v>0</v>
      </c>
    </row>
    <row r="28" spans="2:18" x14ac:dyDescent="0.45">
      <c r="B28" s="45">
        <f>'پمپ سیرکولاتور گرمایش-سرمایش'!B31:C31</f>
        <v>0</v>
      </c>
      <c r="C28" s="46">
        <f>'پمپ سیرکولاتور گرمایش-سرمایش'!D31</f>
        <v>0</v>
      </c>
      <c r="D28" s="47">
        <f t="shared" si="2"/>
        <v>0</v>
      </c>
      <c r="F28" s="309"/>
      <c r="G28" s="310"/>
      <c r="H28" s="123"/>
      <c r="I28" s="124"/>
      <c r="K28" s="305">
        <f>'پمپ سیرکولاتور برگشت آبگرم'!B33</f>
        <v>0</v>
      </c>
      <c r="L28" s="306"/>
      <c r="M28" s="41">
        <f>'پمپ سیرکولاتور برگشت آبگرم'!D33</f>
        <v>0</v>
      </c>
      <c r="N28" s="42">
        <f t="shared" si="4"/>
        <v>0</v>
      </c>
    </row>
    <row r="29" spans="2:18" x14ac:dyDescent="0.45">
      <c r="B29" s="45">
        <f>'پمپ سیرکولاتور گرمایش-سرمایش'!B32:C32</f>
        <v>0</v>
      </c>
      <c r="C29" s="46">
        <f>'پمپ سیرکولاتور گرمایش-سرمایش'!D32</f>
        <v>0</v>
      </c>
      <c r="D29" s="47">
        <f t="shared" si="2"/>
        <v>0</v>
      </c>
      <c r="F29" s="309"/>
      <c r="G29" s="310"/>
      <c r="H29" s="123"/>
      <c r="I29" s="124"/>
      <c r="K29" s="305">
        <f>'پمپ سیرکولاتور برگشت آبگرم'!B34</f>
        <v>0</v>
      </c>
      <c r="L29" s="306"/>
      <c r="M29" s="41">
        <f>'پمپ سیرکولاتور برگشت آبگرم'!D34</f>
        <v>0</v>
      </c>
      <c r="N29" s="42">
        <f t="shared" si="4"/>
        <v>0</v>
      </c>
    </row>
    <row r="30" spans="2:18" x14ac:dyDescent="0.45">
      <c r="B30" s="45">
        <f>'پمپ سیرکولاتور گرمایش-سرمایش'!B33:C33</f>
        <v>0</v>
      </c>
      <c r="C30" s="46">
        <f>'پمپ سیرکولاتور گرمایش-سرمایش'!D33</f>
        <v>0</v>
      </c>
      <c r="D30" s="47">
        <f t="shared" si="2"/>
        <v>0</v>
      </c>
      <c r="F30" s="309"/>
      <c r="G30" s="310"/>
      <c r="H30" s="123"/>
      <c r="I30" s="124"/>
      <c r="K30" s="305">
        <f>'پمپ سیرکولاتور برگشت آبگرم'!B35</f>
        <v>0</v>
      </c>
      <c r="L30" s="306"/>
      <c r="M30" s="41">
        <f>'پمپ سیرکولاتور برگشت آبگرم'!D35</f>
        <v>0</v>
      </c>
      <c r="N30" s="42">
        <f t="shared" si="4"/>
        <v>0</v>
      </c>
    </row>
    <row r="31" spans="2:18" ht="18.75" thickBot="1" x14ac:dyDescent="0.5">
      <c r="B31" s="45">
        <f>'پمپ سیرکولاتور گرمایش-سرمایش'!B34:C34</f>
        <v>0</v>
      </c>
      <c r="C31" s="46">
        <f>'پمپ سیرکولاتور گرمایش-سرمایش'!D34</f>
        <v>0</v>
      </c>
      <c r="D31" s="47">
        <f t="shared" si="2"/>
        <v>0</v>
      </c>
      <c r="F31" s="309"/>
      <c r="G31" s="310"/>
      <c r="H31" s="125"/>
      <c r="I31" s="126"/>
      <c r="K31" s="307">
        <f>'پمپ سیرکولاتور برگشت آبگرم'!B36</f>
        <v>0</v>
      </c>
      <c r="L31" s="308"/>
      <c r="M31" s="43">
        <f>'پمپ سیرکولاتور برگشت آبگرم'!D36</f>
        <v>0</v>
      </c>
      <c r="N31" s="44">
        <f t="shared" si="4"/>
        <v>0</v>
      </c>
    </row>
    <row r="32" spans="2:18" x14ac:dyDescent="0.45">
      <c r="B32" s="45">
        <f>'پمپ سیرکولاتور گرمایش-سرمایش'!B35:C35</f>
        <v>0</v>
      </c>
      <c r="C32" s="46">
        <f>'پمپ سیرکولاتور گرمایش-سرمایش'!D35</f>
        <v>0</v>
      </c>
      <c r="D32" s="47">
        <f t="shared" si="2"/>
        <v>0</v>
      </c>
    </row>
    <row r="33" spans="2:4" x14ac:dyDescent="0.45">
      <c r="B33" s="45">
        <f>'پمپ سیرکولاتور گرمایش-سرمایش'!B36:C36</f>
        <v>0</v>
      </c>
      <c r="C33" s="46">
        <f>'پمپ سیرکولاتور گرمایش-سرمایش'!D36</f>
        <v>0</v>
      </c>
      <c r="D33" s="47">
        <f t="shared" si="2"/>
        <v>0</v>
      </c>
    </row>
    <row r="34" spans="2:4" ht="18.75" thickBot="1" x14ac:dyDescent="0.5">
      <c r="B34" s="48">
        <f>'پمپ سیرکولاتور گرمایش-سرمایش'!B37:C37</f>
        <v>0</v>
      </c>
      <c r="C34" s="49">
        <f>'پمپ سیرکولاتور گرمایش-سرمایش'!D37</f>
        <v>0</v>
      </c>
      <c r="D34" s="50">
        <f t="shared" si="2"/>
        <v>0</v>
      </c>
    </row>
    <row r="35" spans="2:4" x14ac:dyDescent="0.25">
      <c r="B35" s="2" t="s">
        <v>277</v>
      </c>
      <c r="C35" s="2">
        <f>'پمپ سیرکولاتور گرمایش-سرمایش'!D40</f>
        <v>0</v>
      </c>
      <c r="D35" s="2">
        <f>IF(C35=0,1,LOOKUP(C35,$C$3:$N$3,$C$15:$N$15))</f>
        <v>1</v>
      </c>
    </row>
    <row r="36" spans="2:4" x14ac:dyDescent="0.25">
      <c r="B36" s="2" t="s">
        <v>278</v>
      </c>
      <c r="C36" s="2">
        <f>'پمپ سیرکولاتور منبع آبگرم'!D41</f>
        <v>0</v>
      </c>
      <c r="D36" s="2">
        <f t="shared" ref="D36:D37" si="5">IF(C36=0,1,LOOKUP(C36,$C$3:$N$3,$C$15:$N$15))</f>
        <v>1</v>
      </c>
    </row>
    <row r="37" spans="2:4" x14ac:dyDescent="0.25">
      <c r="B37" s="2" t="s">
        <v>279</v>
      </c>
      <c r="C37" s="2">
        <f>'پمپ سیرکولاتور برگشت آبگرم'!D39</f>
        <v>0</v>
      </c>
      <c r="D37" s="2">
        <f t="shared" si="5"/>
        <v>1</v>
      </c>
    </row>
    <row r="38" spans="2:4" x14ac:dyDescent="0.25">
      <c r="B38" s="2" t="s">
        <v>53</v>
      </c>
      <c r="C38" s="2" t="s">
        <v>54</v>
      </c>
    </row>
    <row r="39" spans="2:4" x14ac:dyDescent="0.25">
      <c r="B39" s="2" t="s">
        <v>56</v>
      </c>
      <c r="C39" s="2">
        <v>2.7</v>
      </c>
    </row>
    <row r="40" spans="2:4" x14ac:dyDescent="0.25">
      <c r="B40" s="2" t="s">
        <v>57</v>
      </c>
      <c r="C40" s="2">
        <v>14</v>
      </c>
    </row>
    <row r="41" spans="2:4" x14ac:dyDescent="0.25">
      <c r="B41" s="2" t="s">
        <v>36</v>
      </c>
      <c r="C41" s="2">
        <v>5.5</v>
      </c>
    </row>
    <row r="42" spans="2:4" x14ac:dyDescent="0.25">
      <c r="B42" s="2" t="s">
        <v>3</v>
      </c>
      <c r="C42" s="2">
        <v>5.5</v>
      </c>
    </row>
    <row r="43" spans="2:4" x14ac:dyDescent="0.25">
      <c r="B43" s="2" t="s">
        <v>59</v>
      </c>
      <c r="C43" s="2">
        <v>5.5</v>
      </c>
    </row>
    <row r="44" spans="2:4" x14ac:dyDescent="0.25">
      <c r="B44" s="2" t="s">
        <v>1</v>
      </c>
      <c r="C44" s="2">
        <v>5.5</v>
      </c>
    </row>
    <row r="45" spans="2:4" x14ac:dyDescent="0.25">
      <c r="B45" s="2" t="s">
        <v>60</v>
      </c>
      <c r="C45" s="2">
        <v>5.5</v>
      </c>
    </row>
    <row r="46" spans="2:4" x14ac:dyDescent="0.25">
      <c r="B46" s="2" t="s">
        <v>58</v>
      </c>
      <c r="C46" s="2">
        <v>5.5</v>
      </c>
    </row>
    <row r="47" spans="2:4" x14ac:dyDescent="0.25">
      <c r="B47" s="2" t="s">
        <v>2</v>
      </c>
      <c r="C47" s="2">
        <v>5.5</v>
      </c>
    </row>
    <row r="48" spans="2:4" x14ac:dyDescent="0.25">
      <c r="B48" s="2" t="s">
        <v>55</v>
      </c>
      <c r="C48" s="2">
        <v>14</v>
      </c>
    </row>
  </sheetData>
  <sheetProtection algorithmName="SHA-512" hashValue="9kDoHEnnP9Gx5IQfJvp8ppWw5fUiStckYlDRMxDqO05g9W2pRVVTKBRaI4qNQpmqliErZhh3XuX4e0Te4GUnFw==" saltValue="EIIgk+Sh1ix00yRjAFCMNw==" spinCount="100000" sheet="1" objects="1" scenarios="1"/>
  <mergeCells count="33">
    <mergeCell ref="B16:D16"/>
    <mergeCell ref="F17:G17"/>
    <mergeCell ref="F18:G18"/>
    <mergeCell ref="F19:G19"/>
    <mergeCell ref="F20:G20"/>
    <mergeCell ref="F16:I16"/>
    <mergeCell ref="F22:G22"/>
    <mergeCell ref="F23:G23"/>
    <mergeCell ref="F24:G24"/>
    <mergeCell ref="F25:G25"/>
    <mergeCell ref="F21:G21"/>
    <mergeCell ref="K16:N16"/>
    <mergeCell ref="K17:L17"/>
    <mergeCell ref="K18:L18"/>
    <mergeCell ref="K19:L19"/>
    <mergeCell ref="K26:L26"/>
    <mergeCell ref="K21:L21"/>
    <mergeCell ref="K22:L22"/>
    <mergeCell ref="K23:L23"/>
    <mergeCell ref="K24:L24"/>
    <mergeCell ref="K25:L25"/>
    <mergeCell ref="K20:L20"/>
    <mergeCell ref="F28:G28"/>
    <mergeCell ref="F29:G29"/>
    <mergeCell ref="F30:G30"/>
    <mergeCell ref="F31:G31"/>
    <mergeCell ref="F26:G26"/>
    <mergeCell ref="F27:G27"/>
    <mergeCell ref="K27:L27"/>
    <mergeCell ref="K28:L28"/>
    <mergeCell ref="K29:L29"/>
    <mergeCell ref="K30:L30"/>
    <mergeCell ref="K31:L3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B0F0"/>
  </sheetPr>
  <dimension ref="A1:R47"/>
  <sheetViews>
    <sheetView rightToLeft="1" topLeftCell="A28" zoomScale="140" zoomScaleNormal="140" workbookViewId="0">
      <selection activeCell="N38" sqref="N38"/>
    </sheetView>
  </sheetViews>
  <sheetFormatPr defaultColWidth="9" defaultRowHeight="18" x14ac:dyDescent="0.25"/>
  <cols>
    <col min="1" max="1" width="2.7109375" style="2" customWidth="1"/>
    <col min="2" max="2" width="5.7109375" style="2" customWidth="1"/>
    <col min="3" max="3" width="35.7109375" style="2" customWidth="1"/>
    <col min="4" max="11" width="5.7109375" style="2" customWidth="1"/>
    <col min="12" max="12" width="2.7109375" style="2" customWidth="1"/>
    <col min="13" max="18" width="4.7109375" style="2" customWidth="1"/>
    <col min="19" max="16384" width="9" style="2"/>
  </cols>
  <sheetData>
    <row r="1" spans="1:18" x14ac:dyDescent="0.25">
      <c r="A1" s="148" t="s">
        <v>64</v>
      </c>
      <c r="B1" s="148"/>
      <c r="C1" s="148"/>
      <c r="D1" s="148"/>
      <c r="E1" s="148"/>
      <c r="F1" s="148"/>
      <c r="G1" s="148"/>
      <c r="H1" s="148"/>
      <c r="I1" s="148"/>
      <c r="J1" s="148"/>
      <c r="K1" s="148"/>
      <c r="L1" s="148"/>
    </row>
    <row r="2" spans="1:18" ht="15" customHeight="1" thickBot="1" x14ac:dyDescent="0.3">
      <c r="A2" s="9"/>
      <c r="B2" s="9"/>
      <c r="C2" s="9"/>
      <c r="D2" s="9"/>
      <c r="E2" s="9"/>
      <c r="F2" s="9"/>
      <c r="G2" s="9"/>
      <c r="H2" s="9"/>
      <c r="I2" s="9"/>
      <c r="J2" s="9"/>
      <c r="K2" s="9"/>
      <c r="L2" s="9"/>
    </row>
    <row r="3" spans="1:18" ht="20.100000000000001" customHeight="1" thickBot="1" x14ac:dyDescent="0.3">
      <c r="A3" s="9"/>
      <c r="B3" s="153" t="s">
        <v>133</v>
      </c>
      <c r="C3" s="154"/>
      <c r="D3" s="154"/>
      <c r="E3" s="154"/>
      <c r="F3" s="154"/>
      <c r="G3" s="154"/>
      <c r="H3" s="155"/>
      <c r="I3" s="78"/>
      <c r="J3" s="156"/>
      <c r="K3" s="157"/>
      <c r="L3" s="9"/>
    </row>
    <row r="4" spans="1:18" ht="15" customHeight="1" thickBot="1" x14ac:dyDescent="0.3">
      <c r="A4" s="9"/>
      <c r="B4" s="11"/>
      <c r="C4" s="11"/>
      <c r="D4" s="11"/>
      <c r="E4" s="11"/>
      <c r="F4" s="11"/>
      <c r="G4" s="11"/>
      <c r="H4" s="11"/>
      <c r="I4" s="11"/>
      <c r="J4" s="158"/>
      <c r="K4" s="159"/>
      <c r="L4" s="9"/>
    </row>
    <row r="5" spans="1:18" ht="18" customHeight="1" thickBot="1" x14ac:dyDescent="0.3">
      <c r="A5" s="9"/>
      <c r="B5" s="74" t="s">
        <v>65</v>
      </c>
      <c r="C5" s="79" t="str">
        <f>کاور!C43</f>
        <v>پروژه نمونه</v>
      </c>
      <c r="D5" s="75" t="s">
        <v>49</v>
      </c>
      <c r="E5" s="162">
        <f>کاور!G43</f>
        <v>46199</v>
      </c>
      <c r="F5" s="162"/>
      <c r="G5" s="162"/>
      <c r="H5" s="163"/>
      <c r="I5" s="80"/>
      <c r="J5" s="160"/>
      <c r="K5" s="161"/>
      <c r="L5" s="10"/>
      <c r="M5" s="1"/>
      <c r="N5" s="1"/>
      <c r="O5" s="1"/>
      <c r="P5" s="1"/>
      <c r="Q5" s="1"/>
      <c r="R5" s="1"/>
    </row>
    <row r="6" spans="1:18" ht="15" customHeight="1" thickBot="1" x14ac:dyDescent="0.3">
      <c r="A6" s="9"/>
      <c r="B6" s="9"/>
      <c r="C6" s="9"/>
      <c r="D6" s="9"/>
      <c r="E6" s="9"/>
      <c r="F6" s="9"/>
      <c r="G6" s="9"/>
      <c r="H6" s="9"/>
      <c r="I6" s="9"/>
      <c r="J6" s="9"/>
      <c r="K6" s="9"/>
      <c r="L6" s="9"/>
    </row>
    <row r="7" spans="1:18" ht="18" customHeight="1" x14ac:dyDescent="0.25">
      <c r="A7" s="9"/>
      <c r="B7" s="149" t="s">
        <v>48</v>
      </c>
      <c r="C7" s="150"/>
      <c r="D7" s="150"/>
      <c r="E7" s="150"/>
      <c r="F7" s="150"/>
      <c r="G7" s="150"/>
      <c r="H7" s="150"/>
      <c r="I7" s="150"/>
      <c r="J7" s="150"/>
      <c r="K7" s="151"/>
      <c r="L7" s="9"/>
    </row>
    <row r="8" spans="1:18" ht="18" customHeight="1" x14ac:dyDescent="0.25">
      <c r="A8" s="9"/>
      <c r="B8" s="222" t="s">
        <v>35</v>
      </c>
      <c r="C8" s="223"/>
      <c r="D8" s="223"/>
      <c r="E8" s="223"/>
      <c r="F8" s="6" t="s">
        <v>7</v>
      </c>
      <c r="G8" s="224" t="s">
        <v>38</v>
      </c>
      <c r="H8" s="225"/>
      <c r="I8" s="226"/>
      <c r="J8" s="223" t="s">
        <v>37</v>
      </c>
      <c r="K8" s="230"/>
      <c r="L8" s="9"/>
    </row>
    <row r="9" spans="1:18" ht="18" customHeight="1" x14ac:dyDescent="0.25">
      <c r="A9" s="9"/>
      <c r="B9" s="167" t="s">
        <v>44</v>
      </c>
      <c r="C9" s="168"/>
      <c r="D9" s="168"/>
      <c r="E9" s="168"/>
      <c r="F9" s="17"/>
      <c r="G9" s="143">
        <v>3.6</v>
      </c>
      <c r="H9" s="135"/>
      <c r="I9" s="227"/>
      <c r="J9" s="169">
        <f>G9*F9</f>
        <v>0</v>
      </c>
      <c r="K9" s="228"/>
      <c r="L9" s="9"/>
    </row>
    <row r="10" spans="1:18" ht="18" customHeight="1" x14ac:dyDescent="0.25">
      <c r="A10" s="9"/>
      <c r="B10" s="167" t="s">
        <v>66</v>
      </c>
      <c r="C10" s="168"/>
      <c r="D10" s="168"/>
      <c r="E10" s="168"/>
      <c r="F10" s="17"/>
      <c r="G10" s="143">
        <v>2.9</v>
      </c>
      <c r="H10" s="135"/>
      <c r="I10" s="227"/>
      <c r="J10" s="169">
        <f t="shared" ref="J10:J16" si="0">G10*F10</f>
        <v>0</v>
      </c>
      <c r="K10" s="228"/>
      <c r="L10" s="9"/>
    </row>
    <row r="11" spans="1:18" ht="18" customHeight="1" x14ac:dyDescent="0.25">
      <c r="A11" s="9"/>
      <c r="B11" s="167" t="s">
        <v>45</v>
      </c>
      <c r="C11" s="168"/>
      <c r="D11" s="168"/>
      <c r="E11" s="168"/>
      <c r="F11" s="17"/>
      <c r="G11" s="143">
        <v>0.7</v>
      </c>
      <c r="H11" s="135"/>
      <c r="I11" s="227"/>
      <c r="J11" s="169">
        <f t="shared" si="0"/>
        <v>0</v>
      </c>
      <c r="K11" s="228"/>
      <c r="L11" s="9"/>
    </row>
    <row r="12" spans="1:18" ht="18" customHeight="1" x14ac:dyDescent="0.25">
      <c r="A12" s="9"/>
      <c r="B12" s="167" t="s">
        <v>43</v>
      </c>
      <c r="C12" s="168"/>
      <c r="D12" s="168"/>
      <c r="E12" s="168"/>
      <c r="F12" s="17"/>
      <c r="G12" s="143">
        <v>1.4</v>
      </c>
      <c r="H12" s="135"/>
      <c r="I12" s="227"/>
      <c r="J12" s="169">
        <f t="shared" si="0"/>
        <v>0</v>
      </c>
      <c r="K12" s="228"/>
      <c r="L12" s="9"/>
    </row>
    <row r="13" spans="1:18" ht="18" customHeight="1" x14ac:dyDescent="0.25">
      <c r="A13" s="9"/>
      <c r="B13" s="167" t="s">
        <v>39</v>
      </c>
      <c r="C13" s="168"/>
      <c r="D13" s="168"/>
      <c r="E13" s="168"/>
      <c r="F13" s="17"/>
      <c r="G13" s="143">
        <v>1.4</v>
      </c>
      <c r="H13" s="135"/>
      <c r="I13" s="227"/>
      <c r="J13" s="169">
        <f t="shared" si="0"/>
        <v>0</v>
      </c>
      <c r="K13" s="228"/>
      <c r="L13" s="9"/>
    </row>
    <row r="14" spans="1:18" ht="18" customHeight="1" x14ac:dyDescent="0.25">
      <c r="A14" s="9"/>
      <c r="B14" s="167" t="s">
        <v>40</v>
      </c>
      <c r="C14" s="168"/>
      <c r="D14" s="168"/>
      <c r="E14" s="168"/>
      <c r="F14" s="17"/>
      <c r="G14" s="143">
        <v>1.4</v>
      </c>
      <c r="H14" s="135"/>
      <c r="I14" s="227"/>
      <c r="J14" s="169">
        <f t="shared" si="0"/>
        <v>0</v>
      </c>
      <c r="K14" s="228"/>
      <c r="L14" s="9"/>
    </row>
    <row r="15" spans="1:18" ht="18" customHeight="1" x14ac:dyDescent="0.25">
      <c r="A15" s="9"/>
      <c r="B15" s="167" t="s">
        <v>41</v>
      </c>
      <c r="C15" s="168"/>
      <c r="D15" s="168"/>
      <c r="E15" s="168"/>
      <c r="F15" s="17"/>
      <c r="G15" s="143">
        <v>1.4</v>
      </c>
      <c r="H15" s="135"/>
      <c r="I15" s="227"/>
      <c r="J15" s="169">
        <f t="shared" si="0"/>
        <v>0</v>
      </c>
      <c r="K15" s="228"/>
      <c r="L15" s="9"/>
    </row>
    <row r="16" spans="1:18" ht="18" customHeight="1" x14ac:dyDescent="0.25">
      <c r="A16" s="9"/>
      <c r="B16" s="167" t="s">
        <v>42</v>
      </c>
      <c r="C16" s="168"/>
      <c r="D16" s="168"/>
      <c r="E16" s="168"/>
      <c r="F16" s="17"/>
      <c r="G16" s="143">
        <v>1.4</v>
      </c>
      <c r="H16" s="135"/>
      <c r="I16" s="227"/>
      <c r="J16" s="169">
        <f t="shared" si="0"/>
        <v>0</v>
      </c>
      <c r="K16" s="228"/>
      <c r="L16" s="9"/>
    </row>
    <row r="17" spans="1:12" ht="18" customHeight="1" x14ac:dyDescent="0.25">
      <c r="A17" s="9"/>
      <c r="B17" s="231" t="s">
        <v>46</v>
      </c>
      <c r="C17" s="180"/>
      <c r="D17" s="180"/>
      <c r="E17" s="180"/>
      <c r="F17" s="180"/>
      <c r="G17" s="180"/>
      <c r="H17" s="180"/>
      <c r="I17" s="180"/>
      <c r="J17" s="232">
        <f>SUM(J9:K16)</f>
        <v>0</v>
      </c>
      <c r="K17" s="233"/>
      <c r="L17" s="9"/>
    </row>
    <row r="18" spans="1:12" ht="20.100000000000001" customHeight="1" thickBot="1" x14ac:dyDescent="0.3">
      <c r="A18" s="9"/>
      <c r="B18" s="170" t="s">
        <v>47</v>
      </c>
      <c r="C18" s="171"/>
      <c r="D18" s="27" t="s">
        <v>51</v>
      </c>
      <c r="E18" s="29">
        <f>J18*3.78</f>
        <v>0</v>
      </c>
      <c r="F18" s="172" t="s">
        <v>197</v>
      </c>
      <c r="G18" s="173"/>
      <c r="H18" s="29">
        <f>J18*0.227</f>
        <v>0</v>
      </c>
      <c r="I18" s="111" t="s">
        <v>0</v>
      </c>
      <c r="J18" s="164">
        <f>IF(J17=0,0,'محاسبه دبی خصوصی'!A2)</f>
        <v>0</v>
      </c>
      <c r="K18" s="165"/>
      <c r="L18" s="9"/>
    </row>
    <row r="19" spans="1:12" ht="15" customHeight="1" thickBot="1" x14ac:dyDescent="0.3">
      <c r="A19" s="9"/>
      <c r="B19" s="9"/>
      <c r="C19" s="166"/>
      <c r="D19" s="166"/>
      <c r="E19" s="166"/>
      <c r="F19" s="166"/>
      <c r="G19" s="166"/>
      <c r="H19" s="166"/>
      <c r="I19" s="9"/>
      <c r="J19" s="166"/>
      <c r="K19" s="166"/>
      <c r="L19" s="9"/>
    </row>
    <row r="20" spans="1:12" ht="18" customHeight="1" x14ac:dyDescent="0.25">
      <c r="A20" s="9"/>
      <c r="B20" s="149" t="s">
        <v>178</v>
      </c>
      <c r="C20" s="150"/>
      <c r="D20" s="150"/>
      <c r="E20" s="150"/>
      <c r="F20" s="150"/>
      <c r="G20" s="150"/>
      <c r="H20" s="150"/>
      <c r="I20" s="150"/>
      <c r="J20" s="150"/>
      <c r="K20" s="151"/>
      <c r="L20" s="9"/>
    </row>
    <row r="21" spans="1:12" ht="18" customHeight="1" x14ac:dyDescent="0.25">
      <c r="A21" s="9"/>
      <c r="B21" s="167" t="s">
        <v>186</v>
      </c>
      <c r="C21" s="168"/>
      <c r="D21" s="168"/>
      <c r="E21" s="168"/>
      <c r="F21" s="168"/>
      <c r="G21" s="168"/>
      <c r="H21" s="168"/>
      <c r="I21" s="7" t="s">
        <v>10</v>
      </c>
      <c r="J21" s="13" t="s">
        <v>5</v>
      </c>
      <c r="K21" s="18"/>
      <c r="L21" s="9"/>
    </row>
    <row r="22" spans="1:12" ht="18" customHeight="1" x14ac:dyDescent="0.25">
      <c r="A22" s="9"/>
      <c r="B22" s="167" t="s">
        <v>29</v>
      </c>
      <c r="C22" s="168"/>
      <c r="D22" s="168"/>
      <c r="E22" s="168"/>
      <c r="F22" s="168"/>
      <c r="G22" s="168"/>
      <c r="H22" s="168"/>
      <c r="I22" s="7" t="s">
        <v>10</v>
      </c>
      <c r="J22" s="13" t="s">
        <v>5</v>
      </c>
      <c r="K22" s="18"/>
      <c r="L22" s="9"/>
    </row>
    <row r="23" spans="1:12" ht="18" customHeight="1" x14ac:dyDescent="0.25">
      <c r="A23" s="9"/>
      <c r="B23" s="167" t="s">
        <v>180</v>
      </c>
      <c r="C23" s="168"/>
      <c r="D23" s="168"/>
      <c r="E23" s="168"/>
      <c r="F23" s="168"/>
      <c r="G23" s="168"/>
      <c r="H23" s="168"/>
      <c r="I23" s="7" t="s">
        <v>10</v>
      </c>
      <c r="J23" s="13" t="s">
        <v>5</v>
      </c>
      <c r="K23" s="18"/>
      <c r="L23" s="9"/>
    </row>
    <row r="24" spans="1:12" ht="18" customHeight="1" x14ac:dyDescent="0.25">
      <c r="A24" s="9"/>
      <c r="B24" s="167" t="s">
        <v>31</v>
      </c>
      <c r="C24" s="168"/>
      <c r="D24" s="168"/>
      <c r="E24" s="168"/>
      <c r="F24" s="168"/>
      <c r="G24" s="168"/>
      <c r="H24" s="168"/>
      <c r="I24" s="7" t="s">
        <v>10</v>
      </c>
      <c r="J24" s="13" t="s">
        <v>5</v>
      </c>
      <c r="K24" s="14">
        <f>SUM(K21:K23)</f>
        <v>0</v>
      </c>
      <c r="L24" s="9"/>
    </row>
    <row r="25" spans="1:12" ht="18" customHeight="1" x14ac:dyDescent="0.25">
      <c r="A25" s="9"/>
      <c r="B25" s="137" t="s">
        <v>182</v>
      </c>
      <c r="C25" s="138"/>
      <c r="D25" s="174"/>
      <c r="E25" s="144"/>
      <c r="F25" s="144"/>
      <c r="G25" s="144"/>
      <c r="H25" s="175"/>
      <c r="I25" s="7" t="s">
        <v>10</v>
      </c>
      <c r="J25" s="13" t="s">
        <v>5</v>
      </c>
      <c r="K25" s="14">
        <f>IF(D25=خصوصی!P1,0.5*K24,0)</f>
        <v>0</v>
      </c>
      <c r="L25" s="9"/>
    </row>
    <row r="26" spans="1:12" ht="18" customHeight="1" x14ac:dyDescent="0.25">
      <c r="A26" s="9"/>
      <c r="B26" s="167" t="s">
        <v>181</v>
      </c>
      <c r="C26" s="168"/>
      <c r="D26" s="169" t="s">
        <v>72</v>
      </c>
      <c r="E26" s="169"/>
      <c r="F26" s="8" t="s">
        <v>7</v>
      </c>
      <c r="G26" s="169" t="s">
        <v>9</v>
      </c>
      <c r="H26" s="169"/>
      <c r="I26" s="8"/>
      <c r="J26" s="13"/>
      <c r="K26" s="14"/>
      <c r="L26" s="9"/>
    </row>
    <row r="27" spans="1:12" ht="18" customHeight="1" x14ac:dyDescent="0.25">
      <c r="A27" s="9"/>
      <c r="B27" s="176"/>
      <c r="C27" s="177"/>
      <c r="D27" s="177"/>
      <c r="E27" s="177"/>
      <c r="F27" s="17"/>
      <c r="G27" s="13" t="s">
        <v>5</v>
      </c>
      <c r="H27" s="16">
        <f>خصوصی!D17</f>
        <v>0</v>
      </c>
      <c r="I27" s="7" t="s">
        <v>10</v>
      </c>
      <c r="J27" s="13" t="s">
        <v>5</v>
      </c>
      <c r="K27" s="14">
        <f>H27*F27</f>
        <v>0</v>
      </c>
      <c r="L27" s="9"/>
    </row>
    <row r="28" spans="1:12" ht="18" customHeight="1" x14ac:dyDescent="0.25">
      <c r="A28" s="9"/>
      <c r="B28" s="176"/>
      <c r="C28" s="177"/>
      <c r="D28" s="177"/>
      <c r="E28" s="177"/>
      <c r="F28" s="17"/>
      <c r="G28" s="13" t="s">
        <v>5</v>
      </c>
      <c r="H28" s="16">
        <f>خصوصی!D18</f>
        <v>0</v>
      </c>
      <c r="I28" s="7" t="s">
        <v>10</v>
      </c>
      <c r="J28" s="13" t="s">
        <v>5</v>
      </c>
      <c r="K28" s="14">
        <f t="shared" ref="K28:K37" si="1">H28*F28</f>
        <v>0</v>
      </c>
      <c r="L28" s="9"/>
    </row>
    <row r="29" spans="1:12" ht="18" customHeight="1" x14ac:dyDescent="0.25">
      <c r="A29" s="9"/>
      <c r="B29" s="176"/>
      <c r="C29" s="177"/>
      <c r="D29" s="177"/>
      <c r="E29" s="177"/>
      <c r="F29" s="17"/>
      <c r="G29" s="13" t="s">
        <v>5</v>
      </c>
      <c r="H29" s="16">
        <f>خصوصی!D19</f>
        <v>0</v>
      </c>
      <c r="I29" s="7" t="s">
        <v>10</v>
      </c>
      <c r="J29" s="13" t="s">
        <v>5</v>
      </c>
      <c r="K29" s="14">
        <f t="shared" si="1"/>
        <v>0</v>
      </c>
      <c r="L29" s="9"/>
    </row>
    <row r="30" spans="1:12" ht="18" customHeight="1" x14ac:dyDescent="0.25">
      <c r="A30" s="9"/>
      <c r="B30" s="176"/>
      <c r="C30" s="177"/>
      <c r="D30" s="177"/>
      <c r="E30" s="177"/>
      <c r="F30" s="17"/>
      <c r="G30" s="13" t="s">
        <v>5</v>
      </c>
      <c r="H30" s="16">
        <f>خصوصی!D20</f>
        <v>0</v>
      </c>
      <c r="I30" s="7" t="s">
        <v>10</v>
      </c>
      <c r="J30" s="13" t="s">
        <v>5</v>
      </c>
      <c r="K30" s="14">
        <f t="shared" si="1"/>
        <v>0</v>
      </c>
      <c r="L30" s="9"/>
    </row>
    <row r="31" spans="1:12" ht="18" customHeight="1" x14ac:dyDescent="0.25">
      <c r="A31" s="9"/>
      <c r="B31" s="176"/>
      <c r="C31" s="177"/>
      <c r="D31" s="177"/>
      <c r="E31" s="177"/>
      <c r="F31" s="17"/>
      <c r="G31" s="13" t="s">
        <v>5</v>
      </c>
      <c r="H31" s="16">
        <f>خصوصی!D21</f>
        <v>0</v>
      </c>
      <c r="I31" s="7" t="s">
        <v>10</v>
      </c>
      <c r="J31" s="13" t="s">
        <v>5</v>
      </c>
      <c r="K31" s="14">
        <f t="shared" si="1"/>
        <v>0</v>
      </c>
      <c r="L31" s="9"/>
    </row>
    <row r="32" spans="1:12" ht="18" customHeight="1" x14ac:dyDescent="0.25">
      <c r="A32" s="9"/>
      <c r="B32" s="176"/>
      <c r="C32" s="177"/>
      <c r="D32" s="177"/>
      <c r="E32" s="177"/>
      <c r="F32" s="17"/>
      <c r="G32" s="13" t="s">
        <v>5</v>
      </c>
      <c r="H32" s="16">
        <f>خصوصی!D22</f>
        <v>0</v>
      </c>
      <c r="I32" s="7" t="s">
        <v>10</v>
      </c>
      <c r="J32" s="13" t="s">
        <v>5</v>
      </c>
      <c r="K32" s="14">
        <f t="shared" si="1"/>
        <v>0</v>
      </c>
      <c r="L32" s="9"/>
    </row>
    <row r="33" spans="1:12" ht="18" customHeight="1" x14ac:dyDescent="0.25">
      <c r="A33" s="9"/>
      <c r="B33" s="176"/>
      <c r="C33" s="177"/>
      <c r="D33" s="177"/>
      <c r="E33" s="177"/>
      <c r="F33" s="17"/>
      <c r="G33" s="13" t="s">
        <v>5</v>
      </c>
      <c r="H33" s="16">
        <f>خصوصی!D23</f>
        <v>0</v>
      </c>
      <c r="I33" s="7" t="s">
        <v>10</v>
      </c>
      <c r="J33" s="13" t="s">
        <v>5</v>
      </c>
      <c r="K33" s="14">
        <f t="shared" si="1"/>
        <v>0</v>
      </c>
      <c r="L33" s="9"/>
    </row>
    <row r="34" spans="1:12" ht="18" customHeight="1" x14ac:dyDescent="0.25">
      <c r="A34" s="9"/>
      <c r="B34" s="176"/>
      <c r="C34" s="177"/>
      <c r="D34" s="177"/>
      <c r="E34" s="177"/>
      <c r="F34" s="17"/>
      <c r="G34" s="13" t="s">
        <v>5</v>
      </c>
      <c r="H34" s="16">
        <f>خصوصی!D24</f>
        <v>0</v>
      </c>
      <c r="I34" s="7" t="s">
        <v>10</v>
      </c>
      <c r="J34" s="13" t="s">
        <v>5</v>
      </c>
      <c r="K34" s="14">
        <f t="shared" si="1"/>
        <v>0</v>
      </c>
      <c r="L34" s="9"/>
    </row>
    <row r="35" spans="1:12" ht="18" customHeight="1" x14ac:dyDescent="0.25">
      <c r="A35" s="9"/>
      <c r="B35" s="176"/>
      <c r="C35" s="177"/>
      <c r="D35" s="177"/>
      <c r="E35" s="177"/>
      <c r="F35" s="17"/>
      <c r="G35" s="13" t="s">
        <v>5</v>
      </c>
      <c r="H35" s="16">
        <f>خصوصی!D25</f>
        <v>0</v>
      </c>
      <c r="I35" s="7" t="s">
        <v>10</v>
      </c>
      <c r="J35" s="13" t="s">
        <v>5</v>
      </c>
      <c r="K35" s="14">
        <f t="shared" si="1"/>
        <v>0</v>
      </c>
      <c r="L35" s="9"/>
    </row>
    <row r="36" spans="1:12" ht="18" customHeight="1" x14ac:dyDescent="0.25">
      <c r="A36" s="9"/>
      <c r="B36" s="176"/>
      <c r="C36" s="177"/>
      <c r="D36" s="177"/>
      <c r="E36" s="177"/>
      <c r="F36" s="17"/>
      <c r="G36" s="13" t="s">
        <v>5</v>
      </c>
      <c r="H36" s="16">
        <f>خصوصی!D26</f>
        <v>0</v>
      </c>
      <c r="I36" s="7" t="s">
        <v>10</v>
      </c>
      <c r="J36" s="13" t="s">
        <v>5</v>
      </c>
      <c r="K36" s="14">
        <f t="shared" si="1"/>
        <v>0</v>
      </c>
      <c r="L36" s="9"/>
    </row>
    <row r="37" spans="1:12" ht="18" customHeight="1" x14ac:dyDescent="0.25">
      <c r="A37" s="9"/>
      <c r="B37" s="176"/>
      <c r="C37" s="177"/>
      <c r="D37" s="177"/>
      <c r="E37" s="177"/>
      <c r="F37" s="17"/>
      <c r="G37" s="13" t="s">
        <v>5</v>
      </c>
      <c r="H37" s="16">
        <f>خصوصی!D27</f>
        <v>0</v>
      </c>
      <c r="I37" s="7" t="s">
        <v>10</v>
      </c>
      <c r="J37" s="13" t="s">
        <v>5</v>
      </c>
      <c r="K37" s="14">
        <f t="shared" si="1"/>
        <v>0</v>
      </c>
      <c r="L37" s="9"/>
    </row>
    <row r="38" spans="1:12" ht="18" customHeight="1" x14ac:dyDescent="0.25">
      <c r="A38" s="9"/>
      <c r="B38" s="176"/>
      <c r="C38" s="177"/>
      <c r="D38" s="177"/>
      <c r="E38" s="177"/>
      <c r="F38" s="17"/>
      <c r="G38" s="13" t="s">
        <v>5</v>
      </c>
      <c r="H38" s="16">
        <f>خصوصی!D28</f>
        <v>0</v>
      </c>
      <c r="I38" s="7" t="s">
        <v>10</v>
      </c>
      <c r="J38" s="13" t="s">
        <v>5</v>
      </c>
      <c r="K38" s="14">
        <f>H38*F38</f>
        <v>0</v>
      </c>
      <c r="L38" s="9"/>
    </row>
    <row r="39" spans="1:12" ht="18" customHeight="1" x14ac:dyDescent="0.25">
      <c r="A39" s="9"/>
      <c r="B39" s="176"/>
      <c r="C39" s="177"/>
      <c r="D39" s="177"/>
      <c r="E39" s="177"/>
      <c r="F39" s="17"/>
      <c r="G39" s="13" t="s">
        <v>5</v>
      </c>
      <c r="H39" s="16">
        <f>خصوصی!D29</f>
        <v>0</v>
      </c>
      <c r="I39" s="7" t="s">
        <v>10</v>
      </c>
      <c r="J39" s="13" t="s">
        <v>5</v>
      </c>
      <c r="K39" s="14">
        <f>H39*F39</f>
        <v>0</v>
      </c>
      <c r="L39" s="9"/>
    </row>
    <row r="40" spans="1:12" ht="18" customHeight="1" x14ac:dyDescent="0.25">
      <c r="A40" s="9"/>
      <c r="B40" s="176"/>
      <c r="C40" s="177"/>
      <c r="D40" s="177"/>
      <c r="E40" s="177"/>
      <c r="F40" s="17"/>
      <c r="G40" s="13" t="s">
        <v>5</v>
      </c>
      <c r="H40" s="16">
        <f>خصوصی!D30</f>
        <v>0</v>
      </c>
      <c r="I40" s="7" t="s">
        <v>10</v>
      </c>
      <c r="J40" s="13" t="s">
        <v>5</v>
      </c>
      <c r="K40" s="14">
        <f>H40*F40</f>
        <v>0</v>
      </c>
      <c r="L40" s="9"/>
    </row>
    <row r="41" spans="1:12" ht="18" customHeight="1" x14ac:dyDescent="0.25">
      <c r="A41" s="9"/>
      <c r="B41" s="167" t="s">
        <v>52</v>
      </c>
      <c r="C41" s="168"/>
      <c r="D41" s="168"/>
      <c r="E41" s="168"/>
      <c r="F41" s="168"/>
      <c r="G41" s="168"/>
      <c r="H41" s="168"/>
      <c r="I41" s="7" t="s">
        <v>10</v>
      </c>
      <c r="J41" s="13" t="s">
        <v>5</v>
      </c>
      <c r="K41" s="15">
        <f>IF(D25=خصوصی!P1,SUM(K24:K25),SUM(K24:K40)-K25)</f>
        <v>0</v>
      </c>
      <c r="L41" s="9"/>
    </row>
    <row r="42" spans="1:12" ht="18" customHeight="1" x14ac:dyDescent="0.25">
      <c r="A42" s="9"/>
      <c r="B42" s="167" t="s">
        <v>32</v>
      </c>
      <c r="C42" s="178"/>
      <c r="D42" s="179" t="s">
        <v>185</v>
      </c>
      <c r="E42" s="180"/>
      <c r="F42" s="229"/>
      <c r="G42" s="36">
        <v>2.5</v>
      </c>
      <c r="H42" s="32" t="s">
        <v>34</v>
      </c>
      <c r="I42" s="7" t="s">
        <v>10</v>
      </c>
      <c r="J42" s="13" t="s">
        <v>5</v>
      </c>
      <c r="K42" s="25">
        <f>G42*(K41/100)</f>
        <v>0</v>
      </c>
      <c r="L42" s="9"/>
    </row>
    <row r="43" spans="1:12" ht="18" customHeight="1" x14ac:dyDescent="0.25">
      <c r="A43" s="9"/>
      <c r="B43" s="137" t="s">
        <v>268</v>
      </c>
      <c r="C43" s="138"/>
      <c r="D43" s="144"/>
      <c r="E43" s="144"/>
      <c r="F43" s="119" t="s">
        <v>194</v>
      </c>
      <c r="G43" s="118" t="s">
        <v>0</v>
      </c>
      <c r="H43" s="120"/>
      <c r="I43" s="7" t="s">
        <v>10</v>
      </c>
      <c r="J43" s="13" t="s">
        <v>5</v>
      </c>
      <c r="K43" s="25">
        <f>IF(OR(H43=0,D43=0),0,0.703*(H43/خصوصی!D32)^2)</f>
        <v>0</v>
      </c>
      <c r="L43" s="9"/>
    </row>
    <row r="44" spans="1:12" ht="18" customHeight="1" x14ac:dyDescent="0.25">
      <c r="A44" s="9"/>
      <c r="B44" s="137" t="s">
        <v>270</v>
      </c>
      <c r="C44" s="138"/>
      <c r="D44" s="144"/>
      <c r="E44" s="144"/>
      <c r="F44" s="119" t="s">
        <v>194</v>
      </c>
      <c r="G44" s="118" t="s">
        <v>0</v>
      </c>
      <c r="H44" s="120"/>
      <c r="I44" s="7" t="s">
        <v>10</v>
      </c>
      <c r="J44" s="13" t="s">
        <v>5</v>
      </c>
      <c r="K44" s="77">
        <f>IF(OR(H44=0,D44=0),0,0.703*4*(H44/(20*خصوصی!D35^1.95))^1.72)</f>
        <v>0</v>
      </c>
      <c r="L44" s="9"/>
    </row>
    <row r="45" spans="1:12" ht="18" customHeight="1" x14ac:dyDescent="0.25">
      <c r="A45" s="9"/>
      <c r="B45" s="167" t="s">
        <v>179</v>
      </c>
      <c r="C45" s="178"/>
      <c r="D45" s="119" t="s">
        <v>184</v>
      </c>
      <c r="E45" s="175" t="s">
        <v>3</v>
      </c>
      <c r="F45" s="177"/>
      <c r="G45" s="174"/>
      <c r="H45" s="32" t="s">
        <v>61</v>
      </c>
      <c r="I45" s="7" t="s">
        <v>10</v>
      </c>
      <c r="J45" s="13" t="s">
        <v>5</v>
      </c>
      <c r="K45" s="14">
        <f>LOOKUP(E45,خصوصی!B38:B48,خصوصی!C38:C48)</f>
        <v>5.5</v>
      </c>
      <c r="L45" s="9"/>
    </row>
    <row r="46" spans="1:12" ht="20.100000000000001" customHeight="1" thickBot="1" x14ac:dyDescent="0.3">
      <c r="A46" s="9"/>
      <c r="B46" s="170" t="s">
        <v>67</v>
      </c>
      <c r="C46" s="171"/>
      <c r="D46" s="26" t="s">
        <v>63</v>
      </c>
      <c r="E46" s="184">
        <f>J46*3.28</f>
        <v>18.04</v>
      </c>
      <c r="F46" s="185"/>
      <c r="G46" s="27" t="s">
        <v>62</v>
      </c>
      <c r="H46" s="28">
        <f>J46*1.42</f>
        <v>7.81</v>
      </c>
      <c r="I46" s="26" t="s">
        <v>5</v>
      </c>
      <c r="J46" s="164">
        <f>SUM(K42:K45)+K23</f>
        <v>5.5</v>
      </c>
      <c r="K46" s="165"/>
      <c r="L46" s="9"/>
    </row>
    <row r="47" spans="1:12" ht="15" customHeight="1" x14ac:dyDescent="0.25">
      <c r="A47" s="182"/>
      <c r="B47" s="182"/>
      <c r="C47" s="182"/>
      <c r="D47" s="33"/>
      <c r="E47" s="183" t="s">
        <v>292</v>
      </c>
      <c r="F47" s="183"/>
      <c r="G47" s="183"/>
      <c r="H47" s="183"/>
      <c r="I47" s="183"/>
      <c r="J47" s="183"/>
      <c r="K47" s="183"/>
      <c r="L47" s="183"/>
    </row>
  </sheetData>
  <sheetProtection algorithmName="SHA-512" hashValue="MF6CI9Niu5q2j3zG9k5WXpKi9nr9Ur/AV4qSuqs76EttdAdaCoo9/sK4h+qfNnRHAlf1HXt+NR1wMT4WZ6GkyQ==" saltValue="g8qzE/6bSOItF5JPE96B2A==" spinCount="100000" sheet="1" objects="1" scenarios="1"/>
  <mergeCells count="92">
    <mergeCell ref="B21:H21"/>
    <mergeCell ref="B22:H22"/>
    <mergeCell ref="J14:K14"/>
    <mergeCell ref="J19:K19"/>
    <mergeCell ref="B44:C44"/>
    <mergeCell ref="D44:E44"/>
    <mergeCell ref="D37:E37"/>
    <mergeCell ref="B37:C37"/>
    <mergeCell ref="B43:C43"/>
    <mergeCell ref="D43:E43"/>
    <mergeCell ref="B24:H24"/>
    <mergeCell ref="J17:K17"/>
    <mergeCell ref="J18:K18"/>
    <mergeCell ref="F18:G18"/>
    <mergeCell ref="D29:E29"/>
    <mergeCell ref="B25:C25"/>
    <mergeCell ref="B3:H3"/>
    <mergeCell ref="E5:H5"/>
    <mergeCell ref="D34:E34"/>
    <mergeCell ref="D35:E35"/>
    <mergeCell ref="D36:E36"/>
    <mergeCell ref="B36:C36"/>
    <mergeCell ref="B34:C34"/>
    <mergeCell ref="B35:C35"/>
    <mergeCell ref="D27:E27"/>
    <mergeCell ref="D28:E28"/>
    <mergeCell ref="G10:I10"/>
    <mergeCell ref="G11:I11"/>
    <mergeCell ref="G12:I12"/>
    <mergeCell ref="G13:I13"/>
    <mergeCell ref="G14:I14"/>
    <mergeCell ref="B7:K7"/>
    <mergeCell ref="J3:K5"/>
    <mergeCell ref="A1:L1"/>
    <mergeCell ref="D31:E31"/>
    <mergeCell ref="D32:E32"/>
    <mergeCell ref="D33:E33"/>
    <mergeCell ref="J12:K12"/>
    <mergeCell ref="J15:K15"/>
    <mergeCell ref="C19:E19"/>
    <mergeCell ref="J8:K8"/>
    <mergeCell ref="F19:H19"/>
    <mergeCell ref="J9:K9"/>
    <mergeCell ref="J10:K10"/>
    <mergeCell ref="J11:K11"/>
    <mergeCell ref="J13:K13"/>
    <mergeCell ref="B17:I17"/>
    <mergeCell ref="B13:E13"/>
    <mergeCell ref="A47:C47"/>
    <mergeCell ref="E47:L47"/>
    <mergeCell ref="B38:C38"/>
    <mergeCell ref="B39:C39"/>
    <mergeCell ref="B40:C40"/>
    <mergeCell ref="D42:F42"/>
    <mergeCell ref="B42:C42"/>
    <mergeCell ref="B41:H41"/>
    <mergeCell ref="D38:E38"/>
    <mergeCell ref="D39:E39"/>
    <mergeCell ref="D40:E40"/>
    <mergeCell ref="J46:K46"/>
    <mergeCell ref="E46:F46"/>
    <mergeCell ref="B45:C45"/>
    <mergeCell ref="B46:C46"/>
    <mergeCell ref="E45:G45"/>
    <mergeCell ref="B8:E8"/>
    <mergeCell ref="B9:E9"/>
    <mergeCell ref="G8:I8"/>
    <mergeCell ref="G9:I9"/>
    <mergeCell ref="B23:H23"/>
    <mergeCell ref="B10:E10"/>
    <mergeCell ref="B11:E11"/>
    <mergeCell ref="B12:E12"/>
    <mergeCell ref="G15:I15"/>
    <mergeCell ref="G16:I16"/>
    <mergeCell ref="B14:E14"/>
    <mergeCell ref="B15:E15"/>
    <mergeCell ref="B16:E16"/>
    <mergeCell ref="B18:C18"/>
    <mergeCell ref="B20:K20"/>
    <mergeCell ref="J16:K16"/>
    <mergeCell ref="B31:C31"/>
    <mergeCell ref="B32:C32"/>
    <mergeCell ref="B33:C33"/>
    <mergeCell ref="B29:C29"/>
    <mergeCell ref="B30:C30"/>
    <mergeCell ref="B26:C26"/>
    <mergeCell ref="B27:C27"/>
    <mergeCell ref="B28:C28"/>
    <mergeCell ref="D25:H25"/>
    <mergeCell ref="D30:E30"/>
    <mergeCell ref="D26:E26"/>
    <mergeCell ref="G26:H26"/>
  </mergeCells>
  <printOptions horizontalCentered="1" verticalCentered="1"/>
  <pageMargins left="0.31496062992125984" right="0.31496062992125984" top="0.15748031496062992" bottom="0.15748031496062992" header="0.31496062992125984" footer="0.31496062992125984"/>
  <pageSetup paperSize="9" orientation="portrait" r:id="rId1"/>
  <ignoredErrors>
    <ignoredError sqref="C5" unlockedFormula="1"/>
  </ignoredError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خصوصی!$B$38:$B$48</xm:f>
          </x14:formula1>
          <xm:sqref>E45:G45</xm:sqref>
        </x14:dataValidation>
        <x14:dataValidation type="list" allowBlank="1" showInputMessage="1" showErrorMessage="1" xr:uid="{00000000-0002-0000-0100-000001000000}">
          <x14:formula1>
            <xm:f>خصوصی!$B$4:$B$14</xm:f>
          </x14:formula1>
          <xm:sqref>B27:C40</xm:sqref>
        </x14:dataValidation>
        <x14:dataValidation type="list" allowBlank="1" showInputMessage="1" showErrorMessage="1" xr:uid="{00000000-0002-0000-0100-000002000000}">
          <x14:formula1>
            <xm:f>خصوصی!$C$3:$N$3</xm:f>
          </x14:formula1>
          <xm:sqref>D27:E40 D43:E43</xm:sqref>
        </x14:dataValidation>
        <x14:dataValidation type="list" allowBlank="1" showInputMessage="1" showErrorMessage="1" xr:uid="{00000000-0002-0000-0100-000003000000}">
          <x14:formula1>
            <xm:f>خصوصی!$P$1:$P$2</xm:f>
          </x14:formula1>
          <xm:sqref>D25:H25</xm:sqref>
        </x14:dataValidation>
        <x14:dataValidation type="list" allowBlank="1" showInputMessage="1" showErrorMessage="1" xr:uid="{00000000-0002-0000-0100-000004000000}">
          <x14:formula1>
            <xm:f>خصوصی!$C$33:$F$33</xm:f>
          </x14:formula1>
          <xm:sqref>D44:E44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B57"/>
  <sheetViews>
    <sheetView rightToLeft="1" topLeftCell="A16" zoomScale="145" zoomScaleNormal="145" workbookViewId="0">
      <selection activeCell="D32" sqref="D32"/>
    </sheetView>
  </sheetViews>
  <sheetFormatPr defaultRowHeight="18" x14ac:dyDescent="0.25"/>
  <cols>
    <col min="1" max="1" width="3" style="2" bestFit="1" customWidth="1"/>
    <col min="2" max="2" width="17.7109375" style="2" bestFit="1" customWidth="1"/>
    <col min="3" max="3" width="9.140625" style="2"/>
    <col min="4" max="4" width="9.5703125" style="2" bestFit="1" customWidth="1"/>
    <col min="5" max="6" width="9.140625" style="2"/>
    <col min="7" max="7" width="9.5703125" style="2" bestFit="1" customWidth="1"/>
    <col min="8" max="15" width="9.140625" style="2"/>
    <col min="16" max="16" width="17.7109375" style="2" bestFit="1" customWidth="1"/>
    <col min="17" max="16384" width="9.140625" style="2"/>
  </cols>
  <sheetData>
    <row r="1" spans="1:28" x14ac:dyDescent="0.25">
      <c r="P1" s="2" t="s">
        <v>183</v>
      </c>
    </row>
    <row r="2" spans="1:28" x14ac:dyDescent="0.25">
      <c r="C2" s="2">
        <v>1</v>
      </c>
      <c r="D2" s="2">
        <v>2</v>
      </c>
      <c r="E2" s="2">
        <v>3</v>
      </c>
      <c r="F2" s="2">
        <v>4</v>
      </c>
      <c r="G2" s="2">
        <v>5</v>
      </c>
      <c r="H2" s="2">
        <v>6</v>
      </c>
      <c r="I2" s="2">
        <v>7</v>
      </c>
      <c r="J2" s="2">
        <v>8</v>
      </c>
      <c r="K2" s="2">
        <v>9</v>
      </c>
      <c r="L2" s="2">
        <v>10</v>
      </c>
      <c r="M2" s="2">
        <v>11</v>
      </c>
      <c r="N2" s="2">
        <v>12</v>
      </c>
      <c r="P2" s="2" t="s">
        <v>187</v>
      </c>
    </row>
    <row r="3" spans="1:28" ht="18" customHeight="1" x14ac:dyDescent="0.25">
      <c r="B3" s="2" t="s">
        <v>142</v>
      </c>
      <c r="C3" s="2" t="s">
        <v>20</v>
      </c>
      <c r="D3" s="2" t="s">
        <v>21</v>
      </c>
      <c r="E3" s="2" t="s">
        <v>22</v>
      </c>
      <c r="F3" s="2" t="s">
        <v>23</v>
      </c>
      <c r="G3" s="2" t="s">
        <v>24</v>
      </c>
      <c r="H3" s="2" t="s">
        <v>25</v>
      </c>
      <c r="I3" s="2" t="s">
        <v>26</v>
      </c>
      <c r="J3" s="2" t="s">
        <v>27</v>
      </c>
      <c r="K3" s="2" t="s">
        <v>149</v>
      </c>
      <c r="L3" s="2" t="s">
        <v>148</v>
      </c>
      <c r="M3" s="2" t="s">
        <v>147</v>
      </c>
      <c r="N3" s="2" t="s">
        <v>146</v>
      </c>
      <c r="P3" s="2" t="s">
        <v>143</v>
      </c>
      <c r="Q3" s="2" t="s">
        <v>20</v>
      </c>
      <c r="R3" s="2" t="s">
        <v>21</v>
      </c>
      <c r="S3" s="2" t="s">
        <v>22</v>
      </c>
      <c r="T3" s="2" t="s">
        <v>23</v>
      </c>
      <c r="U3" s="2" t="s">
        <v>24</v>
      </c>
      <c r="V3" s="2" t="s">
        <v>25</v>
      </c>
      <c r="W3" s="2" t="s">
        <v>26</v>
      </c>
      <c r="X3" s="2" t="s">
        <v>27</v>
      </c>
      <c r="Y3" s="2" t="s">
        <v>138</v>
      </c>
      <c r="Z3" s="2" t="s">
        <v>139</v>
      </c>
      <c r="AA3" s="2" t="s">
        <v>140</v>
      </c>
      <c r="AB3" s="2" t="s">
        <v>141</v>
      </c>
    </row>
    <row r="4" spans="1:28" x14ac:dyDescent="0.45">
      <c r="A4" s="2">
        <v>1</v>
      </c>
      <c r="B4" s="3" t="s">
        <v>70</v>
      </c>
      <c r="C4" s="2">
        <f>Q4*0.3</f>
        <v>0.3</v>
      </c>
      <c r="D4" s="2">
        <f t="shared" ref="D4:N8" si="0">R4*0.3</f>
        <v>0.42</v>
      </c>
      <c r="E4" s="2">
        <f t="shared" si="0"/>
        <v>0.54</v>
      </c>
      <c r="F4" s="2">
        <f t="shared" si="0"/>
        <v>0.78</v>
      </c>
      <c r="G4" s="2">
        <f t="shared" si="0"/>
        <v>0.98999999999999988</v>
      </c>
      <c r="H4" s="2">
        <f t="shared" si="0"/>
        <v>1.32</v>
      </c>
      <c r="I4" s="2">
        <f t="shared" si="0"/>
        <v>1.68</v>
      </c>
      <c r="J4" s="2">
        <f t="shared" si="0"/>
        <v>2.16</v>
      </c>
      <c r="K4" s="2">
        <f t="shared" si="0"/>
        <v>3</v>
      </c>
      <c r="L4" s="2">
        <f t="shared" si="0"/>
        <v>4.2</v>
      </c>
      <c r="M4" s="2">
        <f t="shared" si="0"/>
        <v>5.7</v>
      </c>
      <c r="N4" s="2">
        <f t="shared" si="0"/>
        <v>7.1999999999999993</v>
      </c>
      <c r="P4" s="3" t="s">
        <v>70</v>
      </c>
      <c r="Q4" s="2">
        <v>1</v>
      </c>
      <c r="R4" s="2">
        <v>1.4</v>
      </c>
      <c r="S4" s="2">
        <v>1.8</v>
      </c>
      <c r="T4" s="2">
        <v>2.6</v>
      </c>
      <c r="U4" s="2">
        <v>3.3</v>
      </c>
      <c r="V4" s="2">
        <v>4.4000000000000004</v>
      </c>
      <c r="W4" s="2">
        <v>5.6</v>
      </c>
      <c r="X4" s="2">
        <v>7.2</v>
      </c>
      <c r="Y4" s="2">
        <v>10</v>
      </c>
      <c r="Z4" s="2">
        <v>14</v>
      </c>
      <c r="AA4" s="2">
        <v>19</v>
      </c>
      <c r="AB4" s="2">
        <v>24</v>
      </c>
    </row>
    <row r="5" spans="1:28" x14ac:dyDescent="0.45">
      <c r="A5" s="2">
        <v>2</v>
      </c>
      <c r="B5" s="3" t="s">
        <v>14</v>
      </c>
      <c r="C5" s="2">
        <f t="shared" ref="C5:C14" si="1">Q5*0.3</f>
        <v>0.24</v>
      </c>
      <c r="D5" s="2">
        <f t="shared" si="0"/>
        <v>0.27</v>
      </c>
      <c r="E5" s="2">
        <f t="shared" si="0"/>
        <v>0.39</v>
      </c>
      <c r="F5" s="2">
        <f t="shared" si="0"/>
        <v>0.51</v>
      </c>
      <c r="G5" s="2">
        <f t="shared" si="0"/>
        <v>0.63</v>
      </c>
      <c r="H5" s="2">
        <f t="shared" si="0"/>
        <v>0.78</v>
      </c>
      <c r="I5" s="2">
        <f t="shared" si="0"/>
        <v>0.96</v>
      </c>
      <c r="J5" s="2">
        <f t="shared" si="0"/>
        <v>1.2</v>
      </c>
      <c r="K5" s="2">
        <f t="shared" si="0"/>
        <v>1.56</v>
      </c>
      <c r="L5" s="2">
        <f t="shared" si="0"/>
        <v>1.95</v>
      </c>
      <c r="M5" s="2">
        <f t="shared" si="0"/>
        <v>2.37</v>
      </c>
      <c r="N5" s="2">
        <f t="shared" si="0"/>
        <v>3</v>
      </c>
      <c r="P5" s="3" t="s">
        <v>14</v>
      </c>
      <c r="Q5" s="2">
        <v>0.8</v>
      </c>
      <c r="R5" s="2">
        <v>0.9</v>
      </c>
      <c r="S5" s="2">
        <v>1.3</v>
      </c>
      <c r="T5" s="2">
        <v>1.7</v>
      </c>
      <c r="U5" s="2">
        <v>2.1</v>
      </c>
      <c r="V5" s="2">
        <v>2.6</v>
      </c>
      <c r="W5" s="2">
        <v>3.2</v>
      </c>
      <c r="X5" s="2">
        <v>4</v>
      </c>
      <c r="Y5" s="2">
        <v>5.2</v>
      </c>
      <c r="Z5" s="2">
        <v>6.5</v>
      </c>
      <c r="AA5" s="2">
        <v>7.9</v>
      </c>
      <c r="AB5" s="2">
        <v>10</v>
      </c>
    </row>
    <row r="6" spans="1:28" x14ac:dyDescent="0.45">
      <c r="A6" s="2">
        <v>3</v>
      </c>
      <c r="B6" s="3" t="s">
        <v>15</v>
      </c>
      <c r="C6" s="2">
        <f t="shared" si="1"/>
        <v>0.48</v>
      </c>
      <c r="D6" s="2">
        <f t="shared" si="0"/>
        <v>0.6</v>
      </c>
      <c r="E6" s="2">
        <f t="shared" si="0"/>
        <v>0.78</v>
      </c>
      <c r="F6" s="2">
        <f t="shared" si="0"/>
        <v>0.98999999999999988</v>
      </c>
      <c r="G6" s="2">
        <f t="shared" si="0"/>
        <v>1.2</v>
      </c>
      <c r="H6" s="2">
        <f t="shared" si="0"/>
        <v>1.5</v>
      </c>
      <c r="I6" s="2">
        <f t="shared" si="0"/>
        <v>1.7999999999999998</v>
      </c>
      <c r="J6" s="2">
        <f t="shared" si="0"/>
        <v>2.25</v>
      </c>
      <c r="K6" s="2">
        <f t="shared" si="0"/>
        <v>3</v>
      </c>
      <c r="L6" s="2">
        <f t="shared" si="0"/>
        <v>3.9</v>
      </c>
      <c r="M6" s="2">
        <f t="shared" si="0"/>
        <v>4.8</v>
      </c>
      <c r="N6" s="2">
        <f t="shared" si="0"/>
        <v>6</v>
      </c>
      <c r="P6" s="3" t="s">
        <v>15</v>
      </c>
      <c r="Q6" s="2">
        <v>1.6</v>
      </c>
      <c r="R6" s="2">
        <v>2</v>
      </c>
      <c r="S6" s="2">
        <v>2.6</v>
      </c>
      <c r="T6" s="2">
        <v>3.3</v>
      </c>
      <c r="U6" s="2">
        <v>4</v>
      </c>
      <c r="V6" s="2">
        <v>5</v>
      </c>
      <c r="W6" s="2">
        <v>6</v>
      </c>
      <c r="X6" s="2">
        <v>7.5</v>
      </c>
      <c r="Y6" s="2">
        <v>10</v>
      </c>
      <c r="Z6" s="2">
        <v>13</v>
      </c>
      <c r="AA6" s="2">
        <v>16</v>
      </c>
      <c r="AB6" s="2">
        <v>20</v>
      </c>
    </row>
    <row r="7" spans="1:28" x14ac:dyDescent="0.45">
      <c r="A7" s="2">
        <v>4</v>
      </c>
      <c r="B7" s="3" t="s">
        <v>16</v>
      </c>
      <c r="C7" s="2">
        <f t="shared" si="1"/>
        <v>0.3</v>
      </c>
      <c r="D7" s="2">
        <f t="shared" si="0"/>
        <v>0.42</v>
      </c>
      <c r="E7" s="2">
        <f t="shared" si="0"/>
        <v>0.51</v>
      </c>
      <c r="F7" s="2">
        <f t="shared" si="0"/>
        <v>0.69</v>
      </c>
      <c r="G7" s="2">
        <f t="shared" si="0"/>
        <v>0.78</v>
      </c>
      <c r="H7" s="2">
        <f t="shared" si="0"/>
        <v>0.98999999999999988</v>
      </c>
      <c r="I7" s="2">
        <f t="shared" si="0"/>
        <v>1.2299999999999998</v>
      </c>
      <c r="J7" s="2">
        <f t="shared" si="0"/>
        <v>1.5</v>
      </c>
      <c r="K7" s="2">
        <f t="shared" si="0"/>
        <v>2.0099999999999998</v>
      </c>
      <c r="L7" s="2">
        <f t="shared" si="0"/>
        <v>2.4599999999999995</v>
      </c>
      <c r="M7" s="2">
        <f t="shared" si="0"/>
        <v>3</v>
      </c>
      <c r="N7" s="2">
        <f t="shared" si="0"/>
        <v>3.9</v>
      </c>
      <c r="P7" s="3" t="s">
        <v>16</v>
      </c>
      <c r="Q7" s="2">
        <v>1</v>
      </c>
      <c r="R7" s="2">
        <v>1.4</v>
      </c>
      <c r="S7" s="2">
        <v>1.7</v>
      </c>
      <c r="T7" s="2">
        <v>2.2999999999999998</v>
      </c>
      <c r="U7" s="2">
        <v>2.6</v>
      </c>
      <c r="V7" s="2">
        <v>3.3</v>
      </c>
      <c r="W7" s="2">
        <v>4.0999999999999996</v>
      </c>
      <c r="X7" s="2">
        <v>5</v>
      </c>
      <c r="Y7" s="2">
        <v>6.7</v>
      </c>
      <c r="Z7" s="2">
        <v>8.1999999999999993</v>
      </c>
      <c r="AA7" s="2">
        <v>10</v>
      </c>
      <c r="AB7" s="2">
        <v>13</v>
      </c>
    </row>
    <row r="8" spans="1:28" x14ac:dyDescent="0.45">
      <c r="A8" s="2">
        <v>5</v>
      </c>
      <c r="B8" s="3" t="s">
        <v>17</v>
      </c>
      <c r="C8" s="2">
        <f t="shared" si="1"/>
        <v>0.89999999999999991</v>
      </c>
      <c r="D8" s="2">
        <f t="shared" si="0"/>
        <v>1.2</v>
      </c>
      <c r="E8" s="2">
        <f t="shared" si="0"/>
        <v>1.5</v>
      </c>
      <c r="F8" s="2">
        <f t="shared" si="0"/>
        <v>2.1</v>
      </c>
      <c r="G8" s="2">
        <f t="shared" si="0"/>
        <v>2.4</v>
      </c>
      <c r="H8" s="2">
        <f t="shared" si="0"/>
        <v>3</v>
      </c>
      <c r="I8" s="2">
        <f t="shared" si="0"/>
        <v>3.5999999999999996</v>
      </c>
      <c r="J8" s="2">
        <f t="shared" si="0"/>
        <v>4.5</v>
      </c>
      <c r="K8" s="2">
        <f t="shared" si="0"/>
        <v>6.3</v>
      </c>
      <c r="L8" s="2">
        <f t="shared" si="0"/>
        <v>7.5</v>
      </c>
      <c r="M8" s="2">
        <f t="shared" si="0"/>
        <v>9</v>
      </c>
      <c r="N8" s="2">
        <f t="shared" si="0"/>
        <v>12</v>
      </c>
      <c r="P8" s="3" t="s">
        <v>17</v>
      </c>
      <c r="Q8" s="2">
        <v>3</v>
      </c>
      <c r="R8" s="2">
        <v>4</v>
      </c>
      <c r="S8" s="2">
        <v>5</v>
      </c>
      <c r="T8" s="2">
        <v>7</v>
      </c>
      <c r="U8" s="2">
        <v>8</v>
      </c>
      <c r="V8" s="2">
        <v>10</v>
      </c>
      <c r="W8" s="2">
        <v>12</v>
      </c>
      <c r="X8" s="2">
        <v>15</v>
      </c>
      <c r="Y8" s="2">
        <v>21</v>
      </c>
      <c r="Z8" s="2">
        <v>25</v>
      </c>
      <c r="AA8" s="2">
        <v>30</v>
      </c>
      <c r="AB8" s="2">
        <v>40</v>
      </c>
    </row>
    <row r="9" spans="1:28" x14ac:dyDescent="0.45">
      <c r="A9" s="2">
        <v>6</v>
      </c>
      <c r="B9" s="3" t="s">
        <v>18</v>
      </c>
      <c r="C9" s="2">
        <v>0.24</v>
      </c>
      <c r="D9" s="2">
        <v>0.33</v>
      </c>
      <c r="E9" s="2">
        <v>0.45</v>
      </c>
      <c r="F9" s="2">
        <v>0.56999999999999995</v>
      </c>
      <c r="G9" s="2">
        <v>0.67</v>
      </c>
      <c r="H9" s="2">
        <v>0.91</v>
      </c>
      <c r="I9" s="2">
        <v>1.1200000000000001</v>
      </c>
      <c r="J9" s="2">
        <v>1.37</v>
      </c>
      <c r="K9" s="2">
        <v>1.38</v>
      </c>
      <c r="L9" s="2">
        <v>1.39</v>
      </c>
      <c r="M9" s="2">
        <v>1.4</v>
      </c>
      <c r="N9" s="2">
        <v>1.41</v>
      </c>
      <c r="P9" s="3" t="s">
        <v>18</v>
      </c>
    </row>
    <row r="10" spans="1:28" x14ac:dyDescent="0.45">
      <c r="A10" s="2">
        <v>7</v>
      </c>
      <c r="B10" s="3" t="s">
        <v>8</v>
      </c>
      <c r="C10" s="2">
        <f t="shared" si="1"/>
        <v>0.21</v>
      </c>
      <c r="D10" s="2">
        <f t="shared" ref="D10:D14" si="2">R10*0.3</f>
        <v>0.27</v>
      </c>
      <c r="E10" s="2">
        <f t="shared" ref="E10:E14" si="3">S10*0.3</f>
        <v>0.3</v>
      </c>
      <c r="F10" s="2">
        <f t="shared" ref="F10:F14" si="4">T10*0.3</f>
        <v>0.44999999999999996</v>
      </c>
      <c r="G10" s="2">
        <f t="shared" ref="G10:G14" si="5">U10*0.3</f>
        <v>0.54</v>
      </c>
      <c r="H10" s="2">
        <f t="shared" ref="H10:H14" si="6">V10*0.3</f>
        <v>0.69</v>
      </c>
      <c r="I10" s="2">
        <f t="shared" ref="I10:I14" si="7">W10*0.3</f>
        <v>0.84</v>
      </c>
      <c r="J10" s="2">
        <f t="shared" ref="J10:J14" si="8">X10*0.3</f>
        <v>0.96</v>
      </c>
      <c r="K10" s="2">
        <f t="shared" ref="K10:K14" si="9">Y10*0.3</f>
        <v>1.3499999999999999</v>
      </c>
      <c r="L10" s="2">
        <f t="shared" ref="L10:L14" si="10">Z10*0.3</f>
        <v>1.7999999999999998</v>
      </c>
      <c r="M10" s="2">
        <f t="shared" ref="M10:M14" si="11">AA10*0.3</f>
        <v>2.1</v>
      </c>
      <c r="N10" s="2">
        <f t="shared" ref="N10:N14" si="12">AB10*0.3</f>
        <v>2.6999999999999997</v>
      </c>
      <c r="P10" s="3" t="s">
        <v>8</v>
      </c>
      <c r="Q10" s="2">
        <v>0.7</v>
      </c>
      <c r="R10" s="2">
        <v>0.9</v>
      </c>
      <c r="S10" s="2">
        <v>1</v>
      </c>
      <c r="T10" s="2">
        <v>1.5</v>
      </c>
      <c r="U10" s="2">
        <v>1.8</v>
      </c>
      <c r="V10" s="2">
        <v>2.2999999999999998</v>
      </c>
      <c r="W10" s="2">
        <v>2.8</v>
      </c>
      <c r="X10" s="2">
        <v>3.2</v>
      </c>
      <c r="Y10" s="2">
        <v>4.5</v>
      </c>
      <c r="Z10" s="2">
        <v>6</v>
      </c>
      <c r="AA10" s="2">
        <v>7</v>
      </c>
      <c r="AB10" s="2">
        <v>9</v>
      </c>
    </row>
    <row r="11" spans="1:28" x14ac:dyDescent="0.45">
      <c r="A11" s="2">
        <v>8</v>
      </c>
      <c r="B11" s="3" t="s">
        <v>6</v>
      </c>
      <c r="C11" s="2">
        <f t="shared" si="1"/>
        <v>5.3999999999999995</v>
      </c>
      <c r="D11" s="2">
        <f t="shared" si="2"/>
        <v>6.6</v>
      </c>
      <c r="E11" s="2">
        <f t="shared" si="3"/>
        <v>8.6999999999999993</v>
      </c>
      <c r="F11" s="2">
        <f t="shared" si="4"/>
        <v>11.4</v>
      </c>
      <c r="G11" s="2">
        <f t="shared" si="5"/>
        <v>12.9</v>
      </c>
      <c r="H11" s="2">
        <f t="shared" si="6"/>
        <v>16.5</v>
      </c>
      <c r="I11" s="2">
        <f t="shared" si="7"/>
        <v>20.7</v>
      </c>
      <c r="J11" s="2">
        <f t="shared" si="8"/>
        <v>25.2</v>
      </c>
      <c r="K11" s="2">
        <f t="shared" si="9"/>
        <v>36</v>
      </c>
      <c r="L11" s="2">
        <f t="shared" si="10"/>
        <v>42</v>
      </c>
      <c r="M11" s="2">
        <f t="shared" si="11"/>
        <v>51</v>
      </c>
      <c r="N11" s="2">
        <f t="shared" si="12"/>
        <v>66</v>
      </c>
      <c r="P11" s="3" t="s">
        <v>6</v>
      </c>
      <c r="Q11" s="2">
        <v>18</v>
      </c>
      <c r="R11" s="2">
        <v>22</v>
      </c>
      <c r="S11" s="2">
        <v>29</v>
      </c>
      <c r="T11" s="2">
        <v>38</v>
      </c>
      <c r="U11" s="2">
        <v>43</v>
      </c>
      <c r="V11" s="2">
        <v>55</v>
      </c>
      <c r="W11" s="2">
        <v>69</v>
      </c>
      <c r="X11" s="2">
        <v>84</v>
      </c>
      <c r="Y11" s="2">
        <v>120</v>
      </c>
      <c r="Z11" s="2">
        <v>140</v>
      </c>
      <c r="AA11" s="2">
        <v>170</v>
      </c>
      <c r="AB11" s="2">
        <v>220</v>
      </c>
    </row>
    <row r="12" spans="1:28" ht="18" customHeight="1" x14ac:dyDescent="0.45">
      <c r="A12" s="2">
        <v>9</v>
      </c>
      <c r="B12" s="3" t="s">
        <v>19</v>
      </c>
      <c r="C12" s="2">
        <f t="shared" si="1"/>
        <v>2.1</v>
      </c>
      <c r="D12" s="2">
        <f t="shared" si="2"/>
        <v>2.6999999999999997</v>
      </c>
      <c r="E12" s="2">
        <f t="shared" si="3"/>
        <v>3.5999999999999996</v>
      </c>
      <c r="F12" s="2">
        <f t="shared" si="4"/>
        <v>4.5</v>
      </c>
      <c r="G12" s="2">
        <f t="shared" si="5"/>
        <v>5.3999999999999995</v>
      </c>
      <c r="H12" s="2">
        <f t="shared" si="6"/>
        <v>7.1999999999999993</v>
      </c>
      <c r="I12" s="2">
        <f t="shared" si="7"/>
        <v>8.6999999999999993</v>
      </c>
      <c r="J12" s="2">
        <f t="shared" si="8"/>
        <v>10.5</v>
      </c>
      <c r="K12" s="2">
        <f t="shared" si="9"/>
        <v>14.1</v>
      </c>
      <c r="L12" s="2">
        <f t="shared" si="10"/>
        <v>17.399999999999999</v>
      </c>
      <c r="M12" s="2">
        <f t="shared" si="11"/>
        <v>21</v>
      </c>
      <c r="N12" s="2">
        <f t="shared" si="12"/>
        <v>25.5</v>
      </c>
      <c r="P12" s="3" t="s">
        <v>19</v>
      </c>
      <c r="Q12" s="2">
        <v>7</v>
      </c>
      <c r="R12" s="2">
        <v>9</v>
      </c>
      <c r="S12" s="2">
        <v>12</v>
      </c>
      <c r="T12" s="2">
        <v>15</v>
      </c>
      <c r="U12" s="2">
        <v>18</v>
      </c>
      <c r="V12" s="2">
        <v>24</v>
      </c>
      <c r="W12" s="2">
        <v>29</v>
      </c>
      <c r="X12" s="2">
        <v>35</v>
      </c>
      <c r="Y12" s="2">
        <v>47</v>
      </c>
      <c r="Z12" s="2">
        <v>58</v>
      </c>
      <c r="AA12" s="2">
        <v>70</v>
      </c>
      <c r="AB12" s="2">
        <v>85</v>
      </c>
    </row>
    <row r="13" spans="1:28" x14ac:dyDescent="0.45">
      <c r="A13" s="2">
        <v>10</v>
      </c>
      <c r="B13" s="3" t="s">
        <v>11</v>
      </c>
      <c r="C13" s="2">
        <f t="shared" si="1"/>
        <v>1.7999999999999998</v>
      </c>
      <c r="D13" s="2">
        <f t="shared" si="2"/>
        <v>2.4</v>
      </c>
      <c r="E13" s="2">
        <f t="shared" si="3"/>
        <v>3</v>
      </c>
      <c r="F13" s="2">
        <f t="shared" si="4"/>
        <v>4.2</v>
      </c>
      <c r="G13" s="2">
        <f t="shared" si="5"/>
        <v>4.8</v>
      </c>
      <c r="H13" s="2">
        <f t="shared" si="6"/>
        <v>6</v>
      </c>
      <c r="I13" s="2">
        <f t="shared" si="7"/>
        <v>7.5</v>
      </c>
      <c r="J13" s="2">
        <f t="shared" si="8"/>
        <v>9</v>
      </c>
      <c r="K13" s="2">
        <f t="shared" si="9"/>
        <v>12</v>
      </c>
      <c r="L13" s="2">
        <f t="shared" si="10"/>
        <v>15</v>
      </c>
      <c r="M13" s="2">
        <f t="shared" si="11"/>
        <v>18</v>
      </c>
      <c r="N13" s="2">
        <f t="shared" si="12"/>
        <v>24</v>
      </c>
      <c r="P13" s="3" t="s">
        <v>11</v>
      </c>
      <c r="Q13" s="2">
        <v>6</v>
      </c>
      <c r="R13" s="2">
        <v>8</v>
      </c>
      <c r="S13" s="2">
        <v>10</v>
      </c>
      <c r="T13" s="2">
        <v>14</v>
      </c>
      <c r="U13" s="2">
        <v>16</v>
      </c>
      <c r="V13" s="2">
        <v>20</v>
      </c>
      <c r="W13" s="2">
        <v>25</v>
      </c>
      <c r="X13" s="2">
        <v>30</v>
      </c>
      <c r="Y13" s="2">
        <v>40</v>
      </c>
      <c r="Z13" s="2">
        <v>50</v>
      </c>
      <c r="AA13" s="2">
        <v>60</v>
      </c>
      <c r="AB13" s="2">
        <v>80</v>
      </c>
    </row>
    <row r="14" spans="1:28" x14ac:dyDescent="0.45">
      <c r="A14" s="2">
        <v>11</v>
      </c>
      <c r="B14" s="3" t="s">
        <v>69</v>
      </c>
      <c r="C14" s="2">
        <f t="shared" si="1"/>
        <v>0.54</v>
      </c>
      <c r="D14" s="2">
        <f t="shared" si="2"/>
        <v>0.84</v>
      </c>
      <c r="E14" s="2">
        <f t="shared" si="3"/>
        <v>1.1100000000000001</v>
      </c>
      <c r="F14" s="2">
        <f t="shared" si="4"/>
        <v>1.5899999999999999</v>
      </c>
      <c r="G14" s="2">
        <f t="shared" si="5"/>
        <v>1.9799999999999998</v>
      </c>
      <c r="H14" s="2">
        <f t="shared" si="6"/>
        <v>2.6999999999999997</v>
      </c>
      <c r="I14" s="2">
        <f t="shared" si="7"/>
        <v>3.5999999999999996</v>
      </c>
      <c r="J14" s="2">
        <f t="shared" si="8"/>
        <v>4.2</v>
      </c>
      <c r="K14" s="2">
        <f t="shared" si="9"/>
        <v>6</v>
      </c>
      <c r="L14" s="2">
        <f t="shared" si="10"/>
        <v>8.1</v>
      </c>
      <c r="M14" s="2">
        <f t="shared" si="11"/>
        <v>9.9</v>
      </c>
      <c r="N14" s="2">
        <f t="shared" si="12"/>
        <v>14.1</v>
      </c>
      <c r="P14" s="3" t="s">
        <v>69</v>
      </c>
      <c r="Q14" s="2">
        <v>1.8</v>
      </c>
      <c r="R14" s="2">
        <v>2.8</v>
      </c>
      <c r="S14" s="2">
        <v>3.7</v>
      </c>
      <c r="T14" s="2">
        <v>5.3</v>
      </c>
      <c r="U14" s="2">
        <v>6.6</v>
      </c>
      <c r="V14" s="2">
        <v>9</v>
      </c>
      <c r="W14" s="2">
        <v>12</v>
      </c>
      <c r="X14" s="2">
        <v>14</v>
      </c>
      <c r="Y14" s="2">
        <v>20</v>
      </c>
      <c r="Z14" s="2">
        <v>27</v>
      </c>
      <c r="AA14" s="2">
        <v>33</v>
      </c>
      <c r="AB14" s="2">
        <v>47</v>
      </c>
    </row>
    <row r="15" spans="1:28" x14ac:dyDescent="0.45">
      <c r="B15" s="3" t="s">
        <v>267</v>
      </c>
      <c r="C15" s="2">
        <v>8</v>
      </c>
      <c r="D15" s="2">
        <v>15</v>
      </c>
      <c r="E15" s="2">
        <v>22</v>
      </c>
      <c r="F15" s="2">
        <v>38</v>
      </c>
      <c r="G15" s="2">
        <v>42</v>
      </c>
      <c r="H15" s="2">
        <v>70</v>
      </c>
      <c r="I15" s="2">
        <v>110</v>
      </c>
      <c r="J15" s="2">
        <v>160</v>
      </c>
      <c r="K15" s="2">
        <v>260</v>
      </c>
      <c r="L15" s="2">
        <v>400</v>
      </c>
      <c r="M15" s="2">
        <v>570</v>
      </c>
      <c r="N15" s="2">
        <v>950</v>
      </c>
      <c r="P15" s="3"/>
    </row>
    <row r="16" spans="1:28" x14ac:dyDescent="0.45">
      <c r="B16" s="3" t="s">
        <v>271</v>
      </c>
      <c r="C16" s="2">
        <v>0.5</v>
      </c>
      <c r="D16" s="2">
        <v>0.75</v>
      </c>
      <c r="E16" s="2">
        <v>1</v>
      </c>
      <c r="F16" s="2">
        <v>1.25</v>
      </c>
      <c r="G16" s="2">
        <v>1.5</v>
      </c>
      <c r="H16" s="2">
        <v>2</v>
      </c>
      <c r="P16" s="3"/>
    </row>
    <row r="17" spans="2:4" x14ac:dyDescent="0.45">
      <c r="B17" s="3">
        <f>'پمپ آبرسانی خصوصی '!B27</f>
        <v>0</v>
      </c>
      <c r="C17" s="2">
        <f>'پمپ آبرسانی خصوصی '!D27</f>
        <v>0</v>
      </c>
      <c r="D17" s="2">
        <f t="array" ref="D17">IF(OR(B17=0,C17=0),0,(INDEX($C$4:$J$14,(LOOKUP(B17,$B$4:$B$14,$A$4:$A$14)),(LOOKUP(C17,$C$3:$J$3,$C$2:$J$2)))))</f>
        <v>0</v>
      </c>
    </row>
    <row r="18" spans="2:4" x14ac:dyDescent="0.45">
      <c r="B18" s="3">
        <f>'پمپ آبرسانی خصوصی '!B28</f>
        <v>0</v>
      </c>
      <c r="C18" s="2">
        <f>'پمپ آبرسانی خصوصی '!D28</f>
        <v>0</v>
      </c>
      <c r="D18" s="2">
        <f t="array" ref="D18">IF(OR(B18=0,C18=0),0,(INDEX($C$4:$J$14,(LOOKUP(B18,$B$4:$B$14,$A$4:$A$14)),(LOOKUP(C18,$C$3:$J$3,$C$2:$J$2)))))</f>
        <v>0</v>
      </c>
    </row>
    <row r="19" spans="2:4" x14ac:dyDescent="0.45">
      <c r="B19" s="3">
        <f>'پمپ آبرسانی خصوصی '!B29</f>
        <v>0</v>
      </c>
      <c r="C19" s="2">
        <f>'پمپ آبرسانی خصوصی '!D29</f>
        <v>0</v>
      </c>
      <c r="D19" s="2">
        <f t="array" ref="D19">IF(OR(B19=0,C19=0),0,(INDEX($C$4:$J$14,(LOOKUP(B19,$B$4:$B$14,$A$4:$A$14)),(LOOKUP(C19,$C$3:$J$3,$C$2:$J$2)))))</f>
        <v>0</v>
      </c>
    </row>
    <row r="20" spans="2:4" x14ac:dyDescent="0.45">
      <c r="B20" s="3">
        <f>'پمپ آبرسانی خصوصی '!B30</f>
        <v>0</v>
      </c>
      <c r="C20" s="2">
        <f>'پمپ آبرسانی خصوصی '!D30</f>
        <v>0</v>
      </c>
      <c r="D20" s="2">
        <f t="array" ref="D20">IF(OR(B20=0,C20=0),0,(INDEX($C$4:$J$14,(LOOKUP(B20,$B$4:$B$14,$A$4:$A$14)),(LOOKUP(C20,$C$3:$J$3,$C$2:$J$2)))))</f>
        <v>0</v>
      </c>
    </row>
    <row r="21" spans="2:4" x14ac:dyDescent="0.45">
      <c r="B21" s="3">
        <f>'پمپ آبرسانی خصوصی '!B31</f>
        <v>0</v>
      </c>
      <c r="C21" s="2">
        <f>'پمپ آبرسانی خصوصی '!D31</f>
        <v>0</v>
      </c>
      <c r="D21" s="2">
        <f t="array" ref="D21">IF(OR(B21=0,C21=0),0,(INDEX($C$4:$J$14,(LOOKUP(B21,$B$4:$B$14,$A$4:$A$14)),(LOOKUP(C21,$C$3:$J$3,$C$2:$J$2)))))</f>
        <v>0</v>
      </c>
    </row>
    <row r="22" spans="2:4" x14ac:dyDescent="0.45">
      <c r="B22" s="3">
        <f>'پمپ آبرسانی خصوصی '!B32</f>
        <v>0</v>
      </c>
      <c r="C22" s="2">
        <f>'پمپ آبرسانی خصوصی '!D32</f>
        <v>0</v>
      </c>
      <c r="D22" s="2">
        <f t="array" ref="D22">IF(OR(B22=0,C22=0),0,(INDEX($C$4:$J$14,(LOOKUP(B22,$B$4:$B$14,$A$4:$A$14)),(LOOKUP(C22,$C$3:$J$3,$C$2:$J$2)))))</f>
        <v>0</v>
      </c>
    </row>
    <row r="23" spans="2:4" x14ac:dyDescent="0.45">
      <c r="B23" s="3">
        <f>'پمپ آبرسانی خصوصی '!B33</f>
        <v>0</v>
      </c>
      <c r="C23" s="2">
        <f>'پمپ آبرسانی خصوصی '!D33</f>
        <v>0</v>
      </c>
      <c r="D23" s="2">
        <f t="array" ref="D23">IF(OR(B23=0,C23=0),0,(INDEX($C$4:$J$14,(LOOKUP(B23,$B$4:$B$14,$A$4:$A$14)),(LOOKUP(C23,$C$3:$J$3,$C$2:$J$2)))))</f>
        <v>0</v>
      </c>
    </row>
    <row r="24" spans="2:4" x14ac:dyDescent="0.45">
      <c r="B24" s="3">
        <f>'پمپ آبرسانی خصوصی '!B34</f>
        <v>0</v>
      </c>
      <c r="C24" s="2">
        <f>'پمپ آبرسانی خصوصی '!D34</f>
        <v>0</v>
      </c>
      <c r="D24" s="2">
        <f t="array" ref="D24">IF(OR(B24=0,C24=0),0,(INDEX($C$4:$J$14,(LOOKUP(B24,$B$4:$B$14,$A$4:$A$14)),(LOOKUP(C24,$C$3:$J$3,$C$2:$J$2)))))</f>
        <v>0</v>
      </c>
    </row>
    <row r="25" spans="2:4" x14ac:dyDescent="0.45">
      <c r="B25" s="3">
        <f>'پمپ آبرسانی خصوصی '!B35</f>
        <v>0</v>
      </c>
      <c r="C25" s="2">
        <f>'پمپ آبرسانی خصوصی '!D35</f>
        <v>0</v>
      </c>
      <c r="D25" s="2">
        <f t="array" ref="D25">IF(OR(B25=0,C25=0),0,(INDEX($C$4:$J$14,(LOOKUP(B25,$B$4:$B$14,$A$4:$A$14)),(LOOKUP(C25,$C$3:$J$3,$C$2:$J$2)))))</f>
        <v>0</v>
      </c>
    </row>
    <row r="26" spans="2:4" x14ac:dyDescent="0.45">
      <c r="B26" s="3">
        <f>'پمپ آبرسانی خصوصی '!B36</f>
        <v>0</v>
      </c>
      <c r="C26" s="2">
        <f>'پمپ آبرسانی خصوصی '!D36</f>
        <v>0</v>
      </c>
      <c r="D26" s="2">
        <f t="array" ref="D26">IF(OR(B26=0,C26=0),0,(INDEX($C$4:$J$14,(LOOKUP(B26,$B$4:$B$14,$A$4:$A$14)),(LOOKUP(C26,$C$3:$J$3,$C$2:$J$2)))))</f>
        <v>0</v>
      </c>
    </row>
    <row r="27" spans="2:4" x14ac:dyDescent="0.45">
      <c r="B27" s="3">
        <f>'پمپ آبرسانی خصوصی '!B37</f>
        <v>0</v>
      </c>
      <c r="C27" s="2">
        <f>'پمپ آبرسانی خصوصی '!D37</f>
        <v>0</v>
      </c>
      <c r="D27" s="2">
        <f t="array" ref="D27">IF(OR(B27=0,C27=0),0,(INDEX($C$4:$J$14,(LOOKUP(B27,$B$4:$B$14,$A$4:$A$14)),(LOOKUP(C27,$C$3:$J$3,$C$2:$J$2)))))</f>
        <v>0</v>
      </c>
    </row>
    <row r="28" spans="2:4" x14ac:dyDescent="0.45">
      <c r="B28" s="3">
        <f>'پمپ آبرسانی خصوصی '!B38</f>
        <v>0</v>
      </c>
      <c r="C28" s="2">
        <f>'پمپ آبرسانی خصوصی '!D38</f>
        <v>0</v>
      </c>
      <c r="D28" s="2">
        <f t="array" ref="D28">IF(OR(B28=0,C28=0),0,(INDEX($C$4:$J$14,(LOOKUP(B28,$B$4:$B$14,$A$4:$A$14)),(LOOKUP(C28,$C$3:$J$3,$C$2:$J$2)))))</f>
        <v>0</v>
      </c>
    </row>
    <row r="29" spans="2:4" x14ac:dyDescent="0.45">
      <c r="B29" s="3">
        <f>'پمپ آبرسانی خصوصی '!B39</f>
        <v>0</v>
      </c>
      <c r="C29" s="2">
        <f>'پمپ آبرسانی خصوصی '!D39</f>
        <v>0</v>
      </c>
      <c r="D29" s="2">
        <f t="array" ref="D29">IF(OR(B29=0,C29=0),0,(INDEX($C$4:$J$14,(LOOKUP(B29,$B$4:$B$14,$A$4:$A$14)),(LOOKUP(C29,$C$3:$J$3,$C$2:$J$2)))))</f>
        <v>0</v>
      </c>
    </row>
    <row r="30" spans="2:4" x14ac:dyDescent="0.45">
      <c r="B30" s="3">
        <f>'پمپ آبرسانی خصوصی '!B40</f>
        <v>0</v>
      </c>
      <c r="C30" s="2">
        <f>'پمپ آبرسانی خصوصی '!D40</f>
        <v>0</v>
      </c>
      <c r="D30" s="2">
        <f t="array" ref="D30">IF(OR(B30=0,C30=0),0,(INDEX($C$4:$J$14,(LOOKUP(B30,$B$4:$B$14,$A$4:$A$14)),(LOOKUP(C30,$C$3:$J$3,$C$2:$J$2)))))</f>
        <v>0</v>
      </c>
    </row>
    <row r="32" spans="2:4" x14ac:dyDescent="0.25">
      <c r="B32" s="2" t="s">
        <v>269</v>
      </c>
      <c r="C32" s="2">
        <f>'پمپ آبرسانی خصوصی '!D43</f>
        <v>0</v>
      </c>
      <c r="D32" s="2">
        <f>IF(C32=0,1,LOOKUP(C32,C3:N3,C15:N15))</f>
        <v>1</v>
      </c>
    </row>
    <row r="33" spans="2:6" x14ac:dyDescent="0.25">
      <c r="C33" s="2" t="s">
        <v>276</v>
      </c>
      <c r="D33" s="2" t="s">
        <v>21</v>
      </c>
      <c r="E33" s="2" t="s">
        <v>22</v>
      </c>
      <c r="F33" s="2" t="s">
        <v>275</v>
      </c>
    </row>
    <row r="34" spans="2:6" x14ac:dyDescent="0.25">
      <c r="C34" s="38">
        <v>0.625</v>
      </c>
      <c r="D34" s="38">
        <v>0.75</v>
      </c>
      <c r="E34" s="38">
        <v>1</v>
      </c>
      <c r="F34" s="38">
        <v>1.25</v>
      </c>
    </row>
    <row r="35" spans="2:6" x14ac:dyDescent="0.25">
      <c r="B35" s="2" t="s">
        <v>272</v>
      </c>
      <c r="C35" s="2">
        <f>'پمپ آبرسانی خصوصی '!D44</f>
        <v>0</v>
      </c>
      <c r="D35" s="2">
        <f>IF(C35=0,1,LOOKUP(C35,C33:F33,C34:F34))</f>
        <v>1</v>
      </c>
    </row>
    <row r="36" spans="2:6" x14ac:dyDescent="0.25">
      <c r="B36" s="2" t="s">
        <v>273</v>
      </c>
      <c r="C36" s="2">
        <f>'پمپ آبرسانی خصوصی '!H44</f>
        <v>0</v>
      </c>
    </row>
    <row r="37" spans="2:6" x14ac:dyDescent="0.25">
      <c r="B37" s="2" t="s">
        <v>274</v>
      </c>
      <c r="C37" s="38">
        <f>0.703*4*(C36/(20*D35^1.95))^1.72</f>
        <v>0</v>
      </c>
    </row>
    <row r="38" spans="2:6" x14ac:dyDescent="0.25">
      <c r="B38" s="2" t="s">
        <v>53</v>
      </c>
      <c r="C38" s="2">
        <v>5.5</v>
      </c>
    </row>
    <row r="39" spans="2:6" x14ac:dyDescent="0.25">
      <c r="B39" s="2" t="s">
        <v>56</v>
      </c>
      <c r="C39" s="2">
        <v>2.7</v>
      </c>
    </row>
    <row r="40" spans="2:6" x14ac:dyDescent="0.25">
      <c r="B40" s="2" t="s">
        <v>57</v>
      </c>
      <c r="C40" s="2">
        <v>14</v>
      </c>
    </row>
    <row r="41" spans="2:6" x14ac:dyDescent="0.25">
      <c r="B41" s="2" t="s">
        <v>36</v>
      </c>
      <c r="C41" s="2">
        <v>5.5</v>
      </c>
    </row>
    <row r="42" spans="2:6" x14ac:dyDescent="0.25">
      <c r="B42" s="2" t="s">
        <v>3</v>
      </c>
      <c r="C42" s="2">
        <v>5.5</v>
      </c>
    </row>
    <row r="43" spans="2:6" x14ac:dyDescent="0.25">
      <c r="B43" s="2" t="s">
        <v>59</v>
      </c>
      <c r="C43" s="2">
        <v>5.5</v>
      </c>
    </row>
    <row r="44" spans="2:6" x14ac:dyDescent="0.25">
      <c r="B44" s="2" t="s">
        <v>1</v>
      </c>
      <c r="C44" s="2">
        <v>5.5</v>
      </c>
    </row>
    <row r="45" spans="2:6" x14ac:dyDescent="0.25">
      <c r="B45" s="2" t="s">
        <v>60</v>
      </c>
      <c r="C45" s="2">
        <v>5.5</v>
      </c>
    </row>
    <row r="46" spans="2:6" x14ac:dyDescent="0.25">
      <c r="B46" s="2" t="s">
        <v>58</v>
      </c>
      <c r="C46" s="2">
        <v>5.5</v>
      </c>
    </row>
    <row r="47" spans="2:6" x14ac:dyDescent="0.25">
      <c r="B47" s="2" t="s">
        <v>2</v>
      </c>
      <c r="C47" s="2">
        <v>5.5</v>
      </c>
    </row>
    <row r="48" spans="2:6" x14ac:dyDescent="0.25">
      <c r="B48" s="2" t="s">
        <v>55</v>
      </c>
      <c r="C48" s="2">
        <v>14</v>
      </c>
    </row>
    <row r="50" spans="3:3" x14ac:dyDescent="0.25">
      <c r="C50" s="76"/>
    </row>
    <row r="51" spans="3:3" x14ac:dyDescent="0.25">
      <c r="C51" s="76"/>
    </row>
    <row r="52" spans="3:3" x14ac:dyDescent="0.25">
      <c r="C52" s="76"/>
    </row>
    <row r="53" spans="3:3" x14ac:dyDescent="0.25">
      <c r="C53" s="76"/>
    </row>
    <row r="54" spans="3:3" x14ac:dyDescent="0.25">
      <c r="C54" s="76"/>
    </row>
    <row r="55" spans="3:3" x14ac:dyDescent="0.25">
      <c r="C55" s="76"/>
    </row>
    <row r="56" spans="3:3" x14ac:dyDescent="0.25">
      <c r="C56" s="76"/>
    </row>
    <row r="57" spans="3:3" x14ac:dyDescent="0.25">
      <c r="C57" s="76"/>
    </row>
  </sheetData>
  <sheetProtection algorithmName="SHA-512" hashValue="n3h2SHg35RDodZOIJQLhsVXKBypatrd+AZ7s096JxT+dCQc4pl3icFpihDNPw9fk42rCs7t4e6BTRvp8sL5J7w==" saltValue="tSWhZIcivQqioBXkZH4JQA==" spinCount="100000" sheet="1" objects="1" scenarios="1"/>
  <sortState xmlns:xlrd2="http://schemas.microsoft.com/office/spreadsheetml/2017/richdata2" ref="B4:J14">
    <sortCondition ref="B4:B14"/>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H57"/>
  <sheetViews>
    <sheetView rightToLeft="1" zoomScale="220" zoomScaleNormal="220" workbookViewId="0">
      <selection activeCell="E10" sqref="E10"/>
    </sheetView>
  </sheetViews>
  <sheetFormatPr defaultRowHeight="14.25" x14ac:dyDescent="0.25"/>
  <cols>
    <col min="1" max="1" width="9.140625" style="4"/>
    <col min="2" max="2" width="9.5703125" style="4" bestFit="1" customWidth="1"/>
    <col min="3" max="16384" width="9.140625" style="4"/>
  </cols>
  <sheetData>
    <row r="1" spans="1:8" x14ac:dyDescent="0.25">
      <c r="A1" s="4" t="s">
        <v>4</v>
      </c>
      <c r="B1" s="5">
        <f>'پمپ آبرسانی خصوصی '!J17</f>
        <v>0</v>
      </c>
      <c r="C1" s="21" t="e">
        <f>LOOKUP(B1,B6:B57,C6:C57)</f>
        <v>#N/A</v>
      </c>
    </row>
    <row r="2" spans="1:8" x14ac:dyDescent="0.25">
      <c r="A2" s="23" t="e">
        <f>IF((B2-B1)=0,C1,A3)</f>
        <v>#N/A</v>
      </c>
      <c r="B2" s="21" t="e">
        <f>LOOKUP(C2,A6:A57,B6:B57)</f>
        <v>#N/A</v>
      </c>
      <c r="C2" s="21" t="e">
        <f>MATCH(C1,C6:C57)</f>
        <v>#N/A</v>
      </c>
      <c r="F2" s="234" t="s">
        <v>71</v>
      </c>
      <c r="G2" s="234"/>
      <c r="H2" s="24"/>
    </row>
    <row r="3" spans="1:8" x14ac:dyDescent="0.25">
      <c r="A3" s="19" t="e">
        <f>(C3*(B1-B2)/(B3-B1)+C1)/(1+((B1-B2)/(B3-B1)))</f>
        <v>#N/A</v>
      </c>
      <c r="B3" s="21" t="e">
        <f>LOOKUP(C3,C6:C57,B6:B57)</f>
        <v>#N/A</v>
      </c>
      <c r="C3" s="21" t="e">
        <f>LOOKUP(C2+1,A6:A57,C6:C57)</f>
        <v>#N/A</v>
      </c>
      <c r="F3" s="4" t="e">
        <f>B2</f>
        <v>#N/A</v>
      </c>
      <c r="G3" s="4" t="e">
        <f>C1</f>
        <v>#N/A</v>
      </c>
    </row>
    <row r="4" spans="1:8" x14ac:dyDescent="0.25">
      <c r="B4" s="21"/>
      <c r="C4" s="21"/>
      <c r="F4" s="4">
        <f>B1</f>
        <v>0</v>
      </c>
      <c r="G4" s="4" t="e">
        <f>(G5*(F4-F3)/(F5-F4)+G3)/(1+(F4-F3)/(F5-F4))</f>
        <v>#N/A</v>
      </c>
    </row>
    <row r="5" spans="1:8" x14ac:dyDescent="0.25">
      <c r="A5" s="20" t="s">
        <v>68</v>
      </c>
      <c r="B5" s="20" t="s">
        <v>4</v>
      </c>
      <c r="C5" s="20" t="s">
        <v>50</v>
      </c>
      <c r="F5" s="4" t="e">
        <f>B3</f>
        <v>#N/A</v>
      </c>
      <c r="G5" s="4" t="e">
        <f>C3</f>
        <v>#N/A</v>
      </c>
    </row>
    <row r="6" spans="1:8" x14ac:dyDescent="0.25">
      <c r="A6" s="20">
        <v>1</v>
      </c>
      <c r="B6" s="20">
        <v>1</v>
      </c>
      <c r="C6" s="20">
        <v>3</v>
      </c>
    </row>
    <row r="7" spans="1:8" x14ac:dyDescent="0.25">
      <c r="A7" s="20">
        <v>2</v>
      </c>
      <c r="B7" s="20">
        <v>2</v>
      </c>
      <c r="C7" s="20">
        <v>5</v>
      </c>
    </row>
    <row r="8" spans="1:8" x14ac:dyDescent="0.25">
      <c r="A8" s="20">
        <v>3</v>
      </c>
      <c r="B8" s="20">
        <v>3</v>
      </c>
      <c r="C8" s="20">
        <v>6.5</v>
      </c>
    </row>
    <row r="9" spans="1:8" x14ac:dyDescent="0.25">
      <c r="A9" s="20">
        <v>4</v>
      </c>
      <c r="B9" s="20">
        <v>4</v>
      </c>
      <c r="C9" s="20">
        <v>8</v>
      </c>
    </row>
    <row r="10" spans="1:8" ht="14.25" customHeight="1" x14ac:dyDescent="0.25">
      <c r="A10" s="20">
        <v>5</v>
      </c>
      <c r="B10" s="20">
        <v>5</v>
      </c>
      <c r="C10" s="20">
        <v>9.4</v>
      </c>
      <c r="F10" s="2"/>
    </row>
    <row r="11" spans="1:8" ht="14.25" customHeight="1" x14ac:dyDescent="0.25">
      <c r="A11" s="20">
        <v>6</v>
      </c>
      <c r="B11" s="20">
        <v>6</v>
      </c>
      <c r="C11" s="20">
        <v>10.7</v>
      </c>
      <c r="F11" s="2"/>
    </row>
    <row r="12" spans="1:8" x14ac:dyDescent="0.25">
      <c r="A12" s="20">
        <v>7</v>
      </c>
      <c r="B12" s="20">
        <v>7</v>
      </c>
      <c r="C12" s="20">
        <v>11.8</v>
      </c>
    </row>
    <row r="13" spans="1:8" x14ac:dyDescent="0.25">
      <c r="A13" s="20">
        <v>8</v>
      </c>
      <c r="B13" s="20">
        <v>8</v>
      </c>
      <c r="C13" s="20">
        <v>12.8</v>
      </c>
    </row>
    <row r="14" spans="1:8" x14ac:dyDescent="0.25">
      <c r="A14" s="20">
        <v>9</v>
      </c>
      <c r="B14" s="20">
        <v>9</v>
      </c>
      <c r="C14" s="20">
        <v>13.7</v>
      </c>
    </row>
    <row r="15" spans="1:8" x14ac:dyDescent="0.25">
      <c r="A15" s="20">
        <v>10</v>
      </c>
      <c r="B15" s="20">
        <v>10</v>
      </c>
      <c r="C15" s="20">
        <v>14.6</v>
      </c>
    </row>
    <row r="16" spans="1:8" x14ac:dyDescent="0.25">
      <c r="A16" s="20">
        <v>11</v>
      </c>
      <c r="B16" s="20">
        <v>11</v>
      </c>
      <c r="C16" s="20">
        <v>15.4</v>
      </c>
    </row>
    <row r="17" spans="1:3" x14ac:dyDescent="0.25">
      <c r="A17" s="20">
        <v>12</v>
      </c>
      <c r="B17" s="20">
        <v>12</v>
      </c>
      <c r="C17" s="20">
        <v>16</v>
      </c>
    </row>
    <row r="18" spans="1:3" x14ac:dyDescent="0.25">
      <c r="A18" s="20">
        <v>13</v>
      </c>
      <c r="B18" s="20">
        <v>13</v>
      </c>
      <c r="C18" s="20">
        <v>16.5</v>
      </c>
    </row>
    <row r="19" spans="1:3" x14ac:dyDescent="0.25">
      <c r="A19" s="20">
        <v>14</v>
      </c>
      <c r="B19" s="20">
        <v>14</v>
      </c>
      <c r="C19" s="20">
        <v>17</v>
      </c>
    </row>
    <row r="20" spans="1:3" x14ac:dyDescent="0.25">
      <c r="A20" s="20">
        <v>15</v>
      </c>
      <c r="B20" s="20">
        <v>15</v>
      </c>
      <c r="C20" s="20">
        <v>17.5</v>
      </c>
    </row>
    <row r="21" spans="1:3" x14ac:dyDescent="0.25">
      <c r="A21" s="20">
        <v>16</v>
      </c>
      <c r="B21" s="20">
        <v>16</v>
      </c>
      <c r="C21" s="20">
        <v>18</v>
      </c>
    </row>
    <row r="22" spans="1:3" x14ac:dyDescent="0.25">
      <c r="A22" s="20">
        <v>17</v>
      </c>
      <c r="B22" s="20">
        <v>17</v>
      </c>
      <c r="C22" s="20">
        <v>18.399999999999999</v>
      </c>
    </row>
    <row r="23" spans="1:3" x14ac:dyDescent="0.25">
      <c r="A23" s="20">
        <v>18</v>
      </c>
      <c r="B23" s="20">
        <v>18</v>
      </c>
      <c r="C23" s="20">
        <v>18.8</v>
      </c>
    </row>
    <row r="24" spans="1:3" x14ac:dyDescent="0.25">
      <c r="A24" s="20">
        <v>19</v>
      </c>
      <c r="B24" s="20">
        <v>19</v>
      </c>
      <c r="C24" s="20">
        <v>19.2</v>
      </c>
    </row>
    <row r="25" spans="1:3" x14ac:dyDescent="0.25">
      <c r="A25" s="20">
        <v>20</v>
      </c>
      <c r="B25" s="20">
        <v>20</v>
      </c>
      <c r="C25" s="20">
        <v>19.600000000000001</v>
      </c>
    </row>
    <row r="26" spans="1:3" x14ac:dyDescent="0.25">
      <c r="A26" s="20">
        <v>21</v>
      </c>
      <c r="B26" s="20">
        <v>25</v>
      </c>
      <c r="C26" s="20">
        <v>21.5</v>
      </c>
    </row>
    <row r="27" spans="1:3" x14ac:dyDescent="0.25">
      <c r="A27" s="20">
        <v>22</v>
      </c>
      <c r="B27" s="20">
        <v>30</v>
      </c>
      <c r="C27" s="20">
        <v>23.3</v>
      </c>
    </row>
    <row r="28" spans="1:3" x14ac:dyDescent="0.25">
      <c r="A28" s="20">
        <v>23</v>
      </c>
      <c r="B28" s="20">
        <v>35</v>
      </c>
      <c r="C28" s="20">
        <v>24.9</v>
      </c>
    </row>
    <row r="29" spans="1:3" x14ac:dyDescent="0.25">
      <c r="A29" s="20">
        <v>24</v>
      </c>
      <c r="B29" s="20">
        <v>40</v>
      </c>
      <c r="C29" s="20">
        <v>26.3</v>
      </c>
    </row>
    <row r="30" spans="1:3" x14ac:dyDescent="0.25">
      <c r="A30" s="20">
        <v>25</v>
      </c>
      <c r="B30" s="20">
        <v>45</v>
      </c>
      <c r="C30" s="20">
        <v>27.7</v>
      </c>
    </row>
    <row r="31" spans="1:3" x14ac:dyDescent="0.25">
      <c r="A31" s="20">
        <v>26</v>
      </c>
      <c r="B31" s="20">
        <v>50</v>
      </c>
      <c r="C31" s="20">
        <v>29.1</v>
      </c>
    </row>
    <row r="32" spans="1:3" x14ac:dyDescent="0.25">
      <c r="A32" s="20">
        <v>27</v>
      </c>
      <c r="B32" s="20">
        <v>60</v>
      </c>
      <c r="C32" s="20">
        <v>32</v>
      </c>
    </row>
    <row r="33" spans="1:3" x14ac:dyDescent="0.25">
      <c r="A33" s="20">
        <v>28</v>
      </c>
      <c r="B33" s="20">
        <v>70</v>
      </c>
      <c r="C33" s="20">
        <v>35</v>
      </c>
    </row>
    <row r="34" spans="1:3" x14ac:dyDescent="0.25">
      <c r="A34" s="20">
        <v>29</v>
      </c>
      <c r="B34" s="20">
        <v>80</v>
      </c>
      <c r="C34" s="20">
        <v>38</v>
      </c>
    </row>
    <row r="35" spans="1:3" x14ac:dyDescent="0.25">
      <c r="A35" s="20">
        <v>30</v>
      </c>
      <c r="B35" s="20">
        <v>90</v>
      </c>
      <c r="C35" s="20">
        <v>41</v>
      </c>
    </row>
    <row r="36" spans="1:3" x14ac:dyDescent="0.25">
      <c r="A36" s="20">
        <v>31</v>
      </c>
      <c r="B36" s="20">
        <v>100</v>
      </c>
      <c r="C36" s="20">
        <v>43.5</v>
      </c>
    </row>
    <row r="37" spans="1:3" x14ac:dyDescent="0.25">
      <c r="A37" s="20">
        <v>32</v>
      </c>
      <c r="B37" s="20">
        <v>120</v>
      </c>
      <c r="C37" s="20">
        <v>48</v>
      </c>
    </row>
    <row r="38" spans="1:3" x14ac:dyDescent="0.25">
      <c r="A38" s="20">
        <v>33</v>
      </c>
      <c r="B38" s="20">
        <v>140</v>
      </c>
      <c r="C38" s="20">
        <v>52.5</v>
      </c>
    </row>
    <row r="39" spans="1:3" x14ac:dyDescent="0.25">
      <c r="A39" s="20">
        <v>34</v>
      </c>
      <c r="B39" s="20">
        <v>160</v>
      </c>
      <c r="C39" s="20">
        <v>57</v>
      </c>
    </row>
    <row r="40" spans="1:3" x14ac:dyDescent="0.25">
      <c r="A40" s="20">
        <v>35</v>
      </c>
      <c r="B40" s="20">
        <v>180</v>
      </c>
      <c r="C40" s="20">
        <v>61</v>
      </c>
    </row>
    <row r="41" spans="1:3" x14ac:dyDescent="0.25">
      <c r="A41" s="20">
        <v>36</v>
      </c>
      <c r="B41" s="20">
        <v>200</v>
      </c>
      <c r="C41" s="20">
        <v>65</v>
      </c>
    </row>
    <row r="42" spans="1:3" x14ac:dyDescent="0.25">
      <c r="A42" s="20">
        <v>37</v>
      </c>
      <c r="B42" s="20">
        <v>225</v>
      </c>
      <c r="C42" s="20">
        <v>70</v>
      </c>
    </row>
    <row r="43" spans="1:3" x14ac:dyDescent="0.25">
      <c r="A43" s="20">
        <v>38</v>
      </c>
      <c r="B43" s="20">
        <v>250</v>
      </c>
      <c r="C43" s="20">
        <v>75</v>
      </c>
    </row>
    <row r="44" spans="1:3" x14ac:dyDescent="0.25">
      <c r="A44" s="20">
        <v>39</v>
      </c>
      <c r="B44" s="20">
        <v>275</v>
      </c>
      <c r="C44" s="20">
        <v>80</v>
      </c>
    </row>
    <row r="45" spans="1:3" x14ac:dyDescent="0.25">
      <c r="A45" s="20">
        <v>40</v>
      </c>
      <c r="B45" s="20">
        <v>300</v>
      </c>
      <c r="C45" s="20">
        <v>85</v>
      </c>
    </row>
    <row r="46" spans="1:3" x14ac:dyDescent="0.25">
      <c r="A46" s="20">
        <v>41</v>
      </c>
      <c r="B46" s="20">
        <v>400</v>
      </c>
      <c r="C46" s="20">
        <v>105</v>
      </c>
    </row>
    <row r="47" spans="1:3" x14ac:dyDescent="0.25">
      <c r="A47" s="20">
        <v>42</v>
      </c>
      <c r="B47" s="20">
        <v>500</v>
      </c>
      <c r="C47" s="20">
        <v>124</v>
      </c>
    </row>
    <row r="48" spans="1:3" x14ac:dyDescent="0.25">
      <c r="A48" s="20">
        <v>43</v>
      </c>
      <c r="B48" s="20">
        <v>750</v>
      </c>
      <c r="C48" s="20">
        <v>170</v>
      </c>
    </row>
    <row r="49" spans="1:3" x14ac:dyDescent="0.25">
      <c r="A49" s="20">
        <v>44</v>
      </c>
      <c r="B49" s="20">
        <v>1000</v>
      </c>
      <c r="C49" s="20">
        <v>208</v>
      </c>
    </row>
    <row r="50" spans="1:3" x14ac:dyDescent="0.25">
      <c r="A50" s="20">
        <v>45</v>
      </c>
      <c r="B50" s="20">
        <v>1250</v>
      </c>
      <c r="C50" s="20">
        <v>239</v>
      </c>
    </row>
    <row r="51" spans="1:3" x14ac:dyDescent="0.25">
      <c r="A51" s="20">
        <v>46</v>
      </c>
      <c r="B51" s="20">
        <v>1500</v>
      </c>
      <c r="C51" s="20">
        <v>269</v>
      </c>
    </row>
    <row r="52" spans="1:3" x14ac:dyDescent="0.25">
      <c r="A52" s="20">
        <v>47</v>
      </c>
      <c r="B52" s="20">
        <v>1750</v>
      </c>
      <c r="C52" s="20">
        <v>297</v>
      </c>
    </row>
    <row r="53" spans="1:3" x14ac:dyDescent="0.25">
      <c r="A53" s="20">
        <v>48</v>
      </c>
      <c r="B53" s="20">
        <v>2000</v>
      </c>
      <c r="C53" s="20">
        <v>325</v>
      </c>
    </row>
    <row r="54" spans="1:3" x14ac:dyDescent="0.25">
      <c r="A54" s="20">
        <v>49</v>
      </c>
      <c r="B54" s="20">
        <v>2500</v>
      </c>
      <c r="C54" s="20">
        <v>380</v>
      </c>
    </row>
    <row r="55" spans="1:3" x14ac:dyDescent="0.25">
      <c r="A55" s="20">
        <v>50</v>
      </c>
      <c r="B55" s="20">
        <v>3000</v>
      </c>
      <c r="C55" s="20">
        <v>433</v>
      </c>
    </row>
    <row r="56" spans="1:3" x14ac:dyDescent="0.25">
      <c r="A56" s="20">
        <v>51</v>
      </c>
      <c r="B56" s="20">
        <v>4000</v>
      </c>
      <c r="C56" s="20">
        <v>252</v>
      </c>
    </row>
    <row r="57" spans="1:3" x14ac:dyDescent="0.25">
      <c r="A57" s="20">
        <v>52</v>
      </c>
      <c r="B57" s="20">
        <v>5000</v>
      </c>
      <c r="C57" s="20">
        <v>593</v>
      </c>
    </row>
  </sheetData>
  <sheetProtection algorithmName="SHA-512" hashValue="1REWjRAjLPtijWJ8HHUbErznf4rd22tZh5K6KRuK5uIToSAIrV+y0HC3Cfyl6XVxkWipGBEhDLtpiJarMJ98fQ==" saltValue="E4NbEkLUvwjp0ZOlnub8fA==" spinCount="100000" sheet="1" objects="1" scenarios="1"/>
  <mergeCells count="1">
    <mergeCell ref="F2:G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R47"/>
  <sheetViews>
    <sheetView rightToLeft="1" topLeftCell="A7" zoomScale="140" zoomScaleNormal="140" workbookViewId="0">
      <selection activeCell="C48" sqref="C48"/>
    </sheetView>
  </sheetViews>
  <sheetFormatPr defaultColWidth="9" defaultRowHeight="18" x14ac:dyDescent="0.25"/>
  <cols>
    <col min="1" max="1" width="2.7109375" style="2" customWidth="1"/>
    <col min="2" max="2" width="5.7109375" style="2" customWidth="1"/>
    <col min="3" max="3" width="35.7109375" style="2" customWidth="1"/>
    <col min="4" max="11" width="5.7109375" style="2" customWidth="1"/>
    <col min="12" max="12" width="2.7109375" style="2" customWidth="1"/>
    <col min="13" max="18" width="4.7109375" style="2" customWidth="1"/>
    <col min="19" max="16384" width="9" style="2"/>
  </cols>
  <sheetData>
    <row r="1" spans="1:18" x14ac:dyDescent="0.25">
      <c r="A1" s="148" t="s">
        <v>64</v>
      </c>
      <c r="B1" s="148"/>
      <c r="C1" s="148"/>
      <c r="D1" s="148"/>
      <c r="E1" s="148"/>
      <c r="F1" s="148"/>
      <c r="G1" s="148"/>
      <c r="H1" s="148"/>
      <c r="I1" s="148"/>
      <c r="J1" s="148"/>
      <c r="K1" s="148"/>
      <c r="L1" s="148"/>
    </row>
    <row r="2" spans="1:18" ht="15" customHeight="1" thickBot="1" x14ac:dyDescent="0.3">
      <c r="A2" s="9"/>
      <c r="B2" s="9"/>
      <c r="C2" s="9"/>
      <c r="D2" s="9"/>
      <c r="E2" s="9"/>
      <c r="F2" s="9"/>
      <c r="G2" s="9"/>
      <c r="H2" s="9"/>
      <c r="I2" s="9"/>
      <c r="J2" s="9"/>
      <c r="K2" s="9"/>
      <c r="L2" s="9"/>
    </row>
    <row r="3" spans="1:18" ht="20.100000000000001" customHeight="1" thickBot="1" x14ac:dyDescent="0.3">
      <c r="A3" s="9"/>
      <c r="B3" s="153" t="s">
        <v>196</v>
      </c>
      <c r="C3" s="154"/>
      <c r="D3" s="154"/>
      <c r="E3" s="154"/>
      <c r="F3" s="154"/>
      <c r="G3" s="154"/>
      <c r="H3" s="155"/>
      <c r="I3" s="78"/>
      <c r="J3" s="156"/>
      <c r="K3" s="157"/>
      <c r="L3" s="9"/>
    </row>
    <row r="4" spans="1:18" ht="15" customHeight="1" thickBot="1" x14ac:dyDescent="0.3">
      <c r="A4" s="9"/>
      <c r="B4" s="11"/>
      <c r="C4" s="11"/>
      <c r="D4" s="11"/>
      <c r="E4" s="11"/>
      <c r="F4" s="11"/>
      <c r="G4" s="11"/>
      <c r="H4" s="11"/>
      <c r="I4" s="11"/>
      <c r="J4" s="158"/>
      <c r="K4" s="159"/>
      <c r="L4" s="9"/>
    </row>
    <row r="5" spans="1:18" ht="18" customHeight="1" thickBot="1" x14ac:dyDescent="0.3">
      <c r="A5" s="9"/>
      <c r="B5" s="74" t="s">
        <v>65</v>
      </c>
      <c r="C5" s="79" t="str">
        <f>کاور!C43</f>
        <v>پروژه نمونه</v>
      </c>
      <c r="D5" s="75" t="s">
        <v>49</v>
      </c>
      <c r="E5" s="162">
        <f>کاور!G43</f>
        <v>46199</v>
      </c>
      <c r="F5" s="162"/>
      <c r="G5" s="162"/>
      <c r="H5" s="163"/>
      <c r="I5" s="80"/>
      <c r="J5" s="160"/>
      <c r="K5" s="161"/>
      <c r="L5" s="10"/>
      <c r="M5" s="1"/>
      <c r="N5" s="1"/>
      <c r="O5" s="1"/>
      <c r="P5" s="1"/>
      <c r="Q5" s="1"/>
      <c r="R5" s="1"/>
    </row>
    <row r="6" spans="1:18" ht="15" customHeight="1" thickBot="1" x14ac:dyDescent="0.3">
      <c r="A6" s="9"/>
      <c r="B6" s="9"/>
      <c r="C6" s="9"/>
      <c r="D6" s="9"/>
      <c r="E6" s="9"/>
      <c r="F6" s="9"/>
      <c r="G6" s="9"/>
      <c r="H6" s="9"/>
      <c r="I6" s="9"/>
      <c r="J6" s="9"/>
      <c r="K6" s="9"/>
      <c r="L6" s="9"/>
    </row>
    <row r="7" spans="1:18" ht="18" customHeight="1" x14ac:dyDescent="0.25">
      <c r="A7" s="9"/>
      <c r="B7" s="149" t="s">
        <v>48</v>
      </c>
      <c r="C7" s="150"/>
      <c r="D7" s="150"/>
      <c r="E7" s="150"/>
      <c r="F7" s="150"/>
      <c r="G7" s="150"/>
      <c r="H7" s="150"/>
      <c r="I7" s="150"/>
      <c r="J7" s="150"/>
      <c r="K7" s="151"/>
      <c r="L7" s="9"/>
    </row>
    <row r="8" spans="1:18" ht="18" customHeight="1" x14ac:dyDescent="0.25">
      <c r="A8" s="9"/>
      <c r="B8" s="222" t="s">
        <v>35</v>
      </c>
      <c r="C8" s="223"/>
      <c r="D8" s="223"/>
      <c r="E8" s="223"/>
      <c r="F8" s="6" t="s">
        <v>7</v>
      </c>
      <c r="G8" s="224" t="s">
        <v>38</v>
      </c>
      <c r="H8" s="225"/>
      <c r="I8" s="226"/>
      <c r="J8" s="223" t="s">
        <v>37</v>
      </c>
      <c r="K8" s="230"/>
      <c r="L8" s="9"/>
    </row>
    <row r="9" spans="1:18" ht="18" customHeight="1" x14ac:dyDescent="0.25">
      <c r="A9" s="9"/>
      <c r="B9" s="167" t="s">
        <v>130</v>
      </c>
      <c r="C9" s="168"/>
      <c r="D9" s="168"/>
      <c r="E9" s="168"/>
      <c r="F9" s="17"/>
      <c r="G9" s="143">
        <v>7</v>
      </c>
      <c r="H9" s="135"/>
      <c r="I9" s="227"/>
      <c r="J9" s="169">
        <f>G9*F9</f>
        <v>0</v>
      </c>
      <c r="K9" s="228"/>
      <c r="L9" s="9"/>
    </row>
    <row r="10" spans="1:18" ht="18" customHeight="1" x14ac:dyDescent="0.25">
      <c r="A10" s="9"/>
      <c r="B10" s="167" t="s">
        <v>129</v>
      </c>
      <c r="C10" s="168"/>
      <c r="D10" s="168"/>
      <c r="E10" s="168"/>
      <c r="F10" s="17"/>
      <c r="G10" s="143">
        <v>2</v>
      </c>
      <c r="H10" s="135"/>
      <c r="I10" s="227"/>
      <c r="J10" s="169">
        <f t="shared" ref="J10:J16" si="0">G10*F10</f>
        <v>0</v>
      </c>
      <c r="K10" s="228"/>
      <c r="L10" s="9"/>
    </row>
    <row r="11" spans="1:18" ht="18" customHeight="1" x14ac:dyDescent="0.25">
      <c r="A11" s="9"/>
      <c r="B11" s="167" t="s">
        <v>128</v>
      </c>
      <c r="C11" s="168"/>
      <c r="D11" s="168"/>
      <c r="E11" s="168"/>
      <c r="F11" s="17"/>
      <c r="G11" s="143">
        <v>4</v>
      </c>
      <c r="H11" s="135"/>
      <c r="I11" s="227"/>
      <c r="J11" s="169">
        <f t="shared" si="0"/>
        <v>0</v>
      </c>
      <c r="K11" s="228"/>
      <c r="L11" s="9"/>
    </row>
    <row r="12" spans="1:18" ht="18" customHeight="1" x14ac:dyDescent="0.25">
      <c r="A12" s="9"/>
      <c r="B12" s="167" t="s">
        <v>127</v>
      </c>
      <c r="C12" s="168"/>
      <c r="D12" s="168"/>
      <c r="E12" s="168"/>
      <c r="F12" s="17"/>
      <c r="G12" s="143">
        <v>4</v>
      </c>
      <c r="H12" s="135"/>
      <c r="I12" s="227"/>
      <c r="J12" s="169">
        <f t="shared" si="0"/>
        <v>0</v>
      </c>
      <c r="K12" s="228"/>
      <c r="L12" s="9"/>
    </row>
    <row r="13" spans="1:18" ht="18" customHeight="1" x14ac:dyDescent="0.25">
      <c r="A13" s="9"/>
      <c r="B13" s="167" t="s">
        <v>131</v>
      </c>
      <c r="C13" s="168"/>
      <c r="D13" s="168"/>
      <c r="E13" s="168"/>
      <c r="F13" s="17"/>
      <c r="G13" s="143">
        <v>3</v>
      </c>
      <c r="H13" s="135"/>
      <c r="I13" s="227"/>
      <c r="J13" s="169">
        <f t="shared" si="0"/>
        <v>0</v>
      </c>
      <c r="K13" s="228"/>
      <c r="L13" s="9"/>
    </row>
    <row r="14" spans="1:18" ht="18" customHeight="1" x14ac:dyDescent="0.25">
      <c r="A14" s="9"/>
      <c r="B14" s="167" t="s">
        <v>132</v>
      </c>
      <c r="C14" s="168"/>
      <c r="D14" s="168"/>
      <c r="E14" s="168"/>
      <c r="F14" s="17"/>
      <c r="G14" s="143">
        <v>4</v>
      </c>
      <c r="H14" s="135"/>
      <c r="I14" s="227"/>
      <c r="J14" s="169">
        <f t="shared" si="0"/>
        <v>0</v>
      </c>
      <c r="K14" s="228"/>
      <c r="L14" s="9"/>
    </row>
    <row r="15" spans="1:18" ht="18" customHeight="1" x14ac:dyDescent="0.25">
      <c r="A15" s="9"/>
      <c r="B15" s="167" t="s">
        <v>125</v>
      </c>
      <c r="C15" s="168"/>
      <c r="D15" s="168"/>
      <c r="E15" s="168"/>
      <c r="F15" s="17"/>
      <c r="G15" s="143">
        <v>3</v>
      </c>
      <c r="H15" s="135"/>
      <c r="I15" s="227"/>
      <c r="J15" s="169">
        <f t="shared" si="0"/>
        <v>0</v>
      </c>
      <c r="K15" s="228"/>
      <c r="L15" s="9"/>
    </row>
    <row r="16" spans="1:18" ht="18" customHeight="1" x14ac:dyDescent="0.25">
      <c r="A16" s="9"/>
      <c r="B16" s="167" t="s">
        <v>126</v>
      </c>
      <c r="C16" s="168"/>
      <c r="D16" s="168"/>
      <c r="E16" s="168"/>
      <c r="F16" s="17"/>
      <c r="G16" s="143">
        <v>4</v>
      </c>
      <c r="H16" s="135"/>
      <c r="I16" s="227"/>
      <c r="J16" s="169">
        <f t="shared" si="0"/>
        <v>0</v>
      </c>
      <c r="K16" s="228"/>
      <c r="L16" s="9"/>
    </row>
    <row r="17" spans="1:12" ht="18" customHeight="1" x14ac:dyDescent="0.25">
      <c r="A17" s="9"/>
      <c r="B17" s="231" t="s">
        <v>46</v>
      </c>
      <c r="C17" s="180"/>
      <c r="D17" s="180"/>
      <c r="E17" s="180"/>
      <c r="F17" s="180"/>
      <c r="G17" s="180"/>
      <c r="H17" s="180"/>
      <c r="I17" s="180"/>
      <c r="J17" s="232">
        <f>SUM(J9:K16)</f>
        <v>0</v>
      </c>
      <c r="K17" s="233"/>
      <c r="L17" s="9"/>
    </row>
    <row r="18" spans="1:12" ht="20.100000000000001" customHeight="1" thickBot="1" x14ac:dyDescent="0.3">
      <c r="A18" s="9"/>
      <c r="B18" s="170" t="s">
        <v>47</v>
      </c>
      <c r="C18" s="171"/>
      <c r="D18" s="27" t="s">
        <v>51</v>
      </c>
      <c r="E18" s="29">
        <f>J18*3.78</f>
        <v>0</v>
      </c>
      <c r="F18" s="172" t="s">
        <v>197</v>
      </c>
      <c r="G18" s="173"/>
      <c r="H18" s="29">
        <f>J18*0.227</f>
        <v>0</v>
      </c>
      <c r="I18" s="27" t="s">
        <v>0</v>
      </c>
      <c r="J18" s="164">
        <f>IF(J17=0,0,'محاسبه دبی عمومی'!A2)</f>
        <v>0</v>
      </c>
      <c r="K18" s="165"/>
      <c r="L18" s="9"/>
    </row>
    <row r="19" spans="1:12" ht="15" customHeight="1" thickBot="1" x14ac:dyDescent="0.3">
      <c r="A19" s="9"/>
      <c r="B19" s="9"/>
      <c r="C19" s="166"/>
      <c r="D19" s="166"/>
      <c r="E19" s="166"/>
      <c r="F19" s="166"/>
      <c r="G19" s="166"/>
      <c r="H19" s="166"/>
      <c r="I19" s="9"/>
      <c r="J19" s="166"/>
      <c r="K19" s="166"/>
      <c r="L19" s="9"/>
    </row>
    <row r="20" spans="1:12" ht="18" customHeight="1" x14ac:dyDescent="0.25">
      <c r="A20" s="9"/>
      <c r="B20" s="149" t="s">
        <v>178</v>
      </c>
      <c r="C20" s="150"/>
      <c r="D20" s="150"/>
      <c r="E20" s="150"/>
      <c r="F20" s="150"/>
      <c r="G20" s="150"/>
      <c r="H20" s="150"/>
      <c r="I20" s="150"/>
      <c r="J20" s="150"/>
      <c r="K20" s="151"/>
      <c r="L20" s="9"/>
    </row>
    <row r="21" spans="1:12" ht="18" customHeight="1" x14ac:dyDescent="0.25">
      <c r="A21" s="9"/>
      <c r="B21" s="167" t="s">
        <v>144</v>
      </c>
      <c r="C21" s="168"/>
      <c r="D21" s="168"/>
      <c r="E21" s="168"/>
      <c r="F21" s="168"/>
      <c r="G21" s="168"/>
      <c r="H21" s="168"/>
      <c r="I21" s="7" t="s">
        <v>10</v>
      </c>
      <c r="J21" s="13" t="s">
        <v>5</v>
      </c>
      <c r="K21" s="18"/>
      <c r="L21" s="9"/>
    </row>
    <row r="22" spans="1:12" ht="18" customHeight="1" x14ac:dyDescent="0.25">
      <c r="A22" s="9"/>
      <c r="B22" s="167" t="s">
        <v>145</v>
      </c>
      <c r="C22" s="168"/>
      <c r="D22" s="168"/>
      <c r="E22" s="168"/>
      <c r="F22" s="168"/>
      <c r="G22" s="168"/>
      <c r="H22" s="168"/>
      <c r="I22" s="7" t="s">
        <v>10</v>
      </c>
      <c r="J22" s="13" t="s">
        <v>5</v>
      </c>
      <c r="K22" s="18"/>
      <c r="L22" s="9"/>
    </row>
    <row r="23" spans="1:12" ht="18" customHeight="1" x14ac:dyDescent="0.25">
      <c r="A23" s="9"/>
      <c r="B23" s="167" t="s">
        <v>30</v>
      </c>
      <c r="C23" s="168"/>
      <c r="D23" s="168"/>
      <c r="E23" s="168"/>
      <c r="F23" s="168"/>
      <c r="G23" s="168"/>
      <c r="H23" s="168"/>
      <c r="I23" s="7" t="s">
        <v>10</v>
      </c>
      <c r="J23" s="13" t="s">
        <v>5</v>
      </c>
      <c r="K23" s="18"/>
      <c r="L23" s="9"/>
    </row>
    <row r="24" spans="1:12" ht="18" customHeight="1" x14ac:dyDescent="0.25">
      <c r="A24" s="9"/>
      <c r="B24" s="167" t="s">
        <v>31</v>
      </c>
      <c r="C24" s="168"/>
      <c r="D24" s="168"/>
      <c r="E24" s="168"/>
      <c r="F24" s="168"/>
      <c r="G24" s="168"/>
      <c r="H24" s="168"/>
      <c r="I24" s="7" t="s">
        <v>10</v>
      </c>
      <c r="J24" s="13" t="s">
        <v>5</v>
      </c>
      <c r="K24" s="14">
        <f>SUM(K21:K23)</f>
        <v>0</v>
      </c>
      <c r="L24" s="9"/>
    </row>
    <row r="25" spans="1:12" ht="18" customHeight="1" x14ac:dyDescent="0.25">
      <c r="A25" s="9"/>
      <c r="B25" s="137" t="s">
        <v>182</v>
      </c>
      <c r="C25" s="138"/>
      <c r="D25" s="174" t="s">
        <v>187</v>
      </c>
      <c r="E25" s="144"/>
      <c r="F25" s="144"/>
      <c r="G25" s="144"/>
      <c r="H25" s="175"/>
      <c r="I25" s="7" t="s">
        <v>10</v>
      </c>
      <c r="J25" s="13" t="s">
        <v>5</v>
      </c>
      <c r="K25" s="14">
        <f>IF(D25=عمومی!P1,0.5*K24,0)</f>
        <v>0</v>
      </c>
      <c r="L25" s="9"/>
    </row>
    <row r="26" spans="1:12" ht="18" customHeight="1" x14ac:dyDescent="0.25">
      <c r="A26" s="9"/>
      <c r="B26" s="167" t="s">
        <v>28</v>
      </c>
      <c r="C26" s="168"/>
      <c r="D26" s="169" t="s">
        <v>72</v>
      </c>
      <c r="E26" s="169"/>
      <c r="F26" s="8" t="s">
        <v>7</v>
      </c>
      <c r="G26" s="169" t="s">
        <v>9</v>
      </c>
      <c r="H26" s="169"/>
      <c r="I26" s="8"/>
      <c r="J26" s="13"/>
      <c r="K26" s="14"/>
      <c r="L26" s="9"/>
    </row>
    <row r="27" spans="1:12" ht="18" customHeight="1" x14ac:dyDescent="0.25">
      <c r="A27" s="9"/>
      <c r="B27" s="176"/>
      <c r="C27" s="177"/>
      <c r="D27" s="177"/>
      <c r="E27" s="177"/>
      <c r="F27" s="17"/>
      <c r="G27" s="13" t="s">
        <v>5</v>
      </c>
      <c r="H27" s="16">
        <f>عمومی!D17</f>
        <v>0</v>
      </c>
      <c r="I27" s="7" t="s">
        <v>10</v>
      </c>
      <c r="J27" s="13" t="s">
        <v>5</v>
      </c>
      <c r="K27" s="14">
        <f>H27*F27</f>
        <v>0</v>
      </c>
      <c r="L27" s="9"/>
    </row>
    <row r="28" spans="1:12" ht="18" customHeight="1" x14ac:dyDescent="0.25">
      <c r="A28" s="9"/>
      <c r="B28" s="176"/>
      <c r="C28" s="177"/>
      <c r="D28" s="177"/>
      <c r="E28" s="177"/>
      <c r="F28" s="17"/>
      <c r="G28" s="13" t="s">
        <v>5</v>
      </c>
      <c r="H28" s="16">
        <f>عمومی!D18</f>
        <v>0</v>
      </c>
      <c r="I28" s="7" t="s">
        <v>10</v>
      </c>
      <c r="J28" s="13" t="s">
        <v>5</v>
      </c>
      <c r="K28" s="14">
        <f t="shared" ref="K28:K40" si="1">H28*F28</f>
        <v>0</v>
      </c>
      <c r="L28" s="9"/>
    </row>
    <row r="29" spans="1:12" ht="18" customHeight="1" x14ac:dyDescent="0.25">
      <c r="A29" s="9"/>
      <c r="B29" s="176"/>
      <c r="C29" s="177"/>
      <c r="D29" s="177"/>
      <c r="E29" s="177"/>
      <c r="F29" s="17"/>
      <c r="G29" s="13" t="s">
        <v>5</v>
      </c>
      <c r="H29" s="16">
        <f>عمومی!D19</f>
        <v>0</v>
      </c>
      <c r="I29" s="7" t="s">
        <v>10</v>
      </c>
      <c r="J29" s="13" t="s">
        <v>5</v>
      </c>
      <c r="K29" s="14">
        <f t="shared" si="1"/>
        <v>0</v>
      </c>
      <c r="L29" s="9"/>
    </row>
    <row r="30" spans="1:12" ht="18" customHeight="1" x14ac:dyDescent="0.25">
      <c r="A30" s="9"/>
      <c r="B30" s="176"/>
      <c r="C30" s="177"/>
      <c r="D30" s="177"/>
      <c r="E30" s="177"/>
      <c r="F30" s="17"/>
      <c r="G30" s="13" t="s">
        <v>5</v>
      </c>
      <c r="H30" s="16">
        <f>عمومی!D20</f>
        <v>0</v>
      </c>
      <c r="I30" s="7" t="s">
        <v>10</v>
      </c>
      <c r="J30" s="13" t="s">
        <v>5</v>
      </c>
      <c r="K30" s="14">
        <f t="shared" si="1"/>
        <v>0</v>
      </c>
      <c r="L30" s="9"/>
    </row>
    <row r="31" spans="1:12" ht="18" customHeight="1" x14ac:dyDescent="0.25">
      <c r="A31" s="9"/>
      <c r="B31" s="176"/>
      <c r="C31" s="177"/>
      <c r="D31" s="177"/>
      <c r="E31" s="177"/>
      <c r="F31" s="17"/>
      <c r="G31" s="13" t="s">
        <v>5</v>
      </c>
      <c r="H31" s="16">
        <f>عمومی!D21</f>
        <v>0</v>
      </c>
      <c r="I31" s="7" t="s">
        <v>10</v>
      </c>
      <c r="J31" s="13" t="s">
        <v>5</v>
      </c>
      <c r="K31" s="14">
        <f t="shared" si="1"/>
        <v>0</v>
      </c>
      <c r="L31" s="9"/>
    </row>
    <row r="32" spans="1:12" ht="18" customHeight="1" x14ac:dyDescent="0.25">
      <c r="A32" s="9"/>
      <c r="B32" s="176"/>
      <c r="C32" s="177"/>
      <c r="D32" s="177"/>
      <c r="E32" s="177"/>
      <c r="F32" s="17"/>
      <c r="G32" s="13" t="s">
        <v>5</v>
      </c>
      <c r="H32" s="16">
        <f>عمومی!D22</f>
        <v>0</v>
      </c>
      <c r="I32" s="7" t="s">
        <v>10</v>
      </c>
      <c r="J32" s="13" t="s">
        <v>5</v>
      </c>
      <c r="K32" s="14">
        <f t="shared" si="1"/>
        <v>0</v>
      </c>
      <c r="L32" s="9"/>
    </row>
    <row r="33" spans="1:12" ht="18" customHeight="1" x14ac:dyDescent="0.25">
      <c r="A33" s="9"/>
      <c r="B33" s="176"/>
      <c r="C33" s="177"/>
      <c r="D33" s="177"/>
      <c r="E33" s="177"/>
      <c r="F33" s="17"/>
      <c r="G33" s="13" t="s">
        <v>5</v>
      </c>
      <c r="H33" s="16">
        <f>عمومی!D23</f>
        <v>0</v>
      </c>
      <c r="I33" s="7" t="s">
        <v>10</v>
      </c>
      <c r="J33" s="13" t="s">
        <v>5</v>
      </c>
      <c r="K33" s="14">
        <f t="shared" si="1"/>
        <v>0</v>
      </c>
      <c r="L33" s="9"/>
    </row>
    <row r="34" spans="1:12" ht="18" customHeight="1" x14ac:dyDescent="0.25">
      <c r="A34" s="9"/>
      <c r="B34" s="176"/>
      <c r="C34" s="177"/>
      <c r="D34" s="177"/>
      <c r="E34" s="177"/>
      <c r="F34" s="17"/>
      <c r="G34" s="13" t="s">
        <v>5</v>
      </c>
      <c r="H34" s="16">
        <f>عمومی!D24</f>
        <v>0</v>
      </c>
      <c r="I34" s="7" t="s">
        <v>10</v>
      </c>
      <c r="J34" s="13" t="s">
        <v>5</v>
      </c>
      <c r="K34" s="14">
        <f t="shared" si="1"/>
        <v>0</v>
      </c>
      <c r="L34" s="9"/>
    </row>
    <row r="35" spans="1:12" ht="18" customHeight="1" x14ac:dyDescent="0.25">
      <c r="A35" s="9"/>
      <c r="B35" s="176"/>
      <c r="C35" s="177"/>
      <c r="D35" s="177"/>
      <c r="E35" s="177"/>
      <c r="F35" s="17"/>
      <c r="G35" s="13" t="s">
        <v>5</v>
      </c>
      <c r="H35" s="16">
        <f>عمومی!D25</f>
        <v>0</v>
      </c>
      <c r="I35" s="7" t="s">
        <v>10</v>
      </c>
      <c r="J35" s="13" t="s">
        <v>5</v>
      </c>
      <c r="K35" s="14">
        <f t="shared" si="1"/>
        <v>0</v>
      </c>
      <c r="L35" s="9"/>
    </row>
    <row r="36" spans="1:12" ht="18" customHeight="1" x14ac:dyDescent="0.25">
      <c r="A36" s="9"/>
      <c r="B36" s="176"/>
      <c r="C36" s="177"/>
      <c r="D36" s="177"/>
      <c r="E36" s="177"/>
      <c r="F36" s="17"/>
      <c r="G36" s="13" t="s">
        <v>5</v>
      </c>
      <c r="H36" s="16">
        <f>عمومی!D26</f>
        <v>0</v>
      </c>
      <c r="I36" s="7" t="s">
        <v>10</v>
      </c>
      <c r="J36" s="13" t="s">
        <v>5</v>
      </c>
      <c r="K36" s="14">
        <f t="shared" si="1"/>
        <v>0</v>
      </c>
      <c r="L36" s="9"/>
    </row>
    <row r="37" spans="1:12" ht="18" customHeight="1" x14ac:dyDescent="0.25">
      <c r="A37" s="9"/>
      <c r="B37" s="176"/>
      <c r="C37" s="177"/>
      <c r="D37" s="177"/>
      <c r="E37" s="177"/>
      <c r="F37" s="17"/>
      <c r="G37" s="13" t="s">
        <v>5</v>
      </c>
      <c r="H37" s="16">
        <f>عمومی!D27</f>
        <v>0</v>
      </c>
      <c r="I37" s="7" t="s">
        <v>10</v>
      </c>
      <c r="J37" s="13" t="s">
        <v>5</v>
      </c>
      <c r="K37" s="14">
        <f t="shared" si="1"/>
        <v>0</v>
      </c>
      <c r="L37" s="9"/>
    </row>
    <row r="38" spans="1:12" ht="18" customHeight="1" x14ac:dyDescent="0.25">
      <c r="A38" s="9"/>
      <c r="B38" s="176"/>
      <c r="C38" s="177"/>
      <c r="D38" s="177"/>
      <c r="E38" s="177"/>
      <c r="F38" s="17"/>
      <c r="G38" s="13" t="s">
        <v>5</v>
      </c>
      <c r="H38" s="16">
        <f>عمومی!D28</f>
        <v>0</v>
      </c>
      <c r="I38" s="7" t="s">
        <v>10</v>
      </c>
      <c r="J38" s="13" t="s">
        <v>5</v>
      </c>
      <c r="K38" s="14">
        <f t="shared" si="1"/>
        <v>0</v>
      </c>
      <c r="L38" s="9"/>
    </row>
    <row r="39" spans="1:12" ht="18" customHeight="1" x14ac:dyDescent="0.25">
      <c r="A39" s="9"/>
      <c r="B39" s="176"/>
      <c r="C39" s="177"/>
      <c r="D39" s="177"/>
      <c r="E39" s="177"/>
      <c r="F39" s="17"/>
      <c r="G39" s="13" t="s">
        <v>5</v>
      </c>
      <c r="H39" s="16">
        <f>عمومی!D29</f>
        <v>0</v>
      </c>
      <c r="I39" s="7" t="s">
        <v>10</v>
      </c>
      <c r="J39" s="13" t="s">
        <v>5</v>
      </c>
      <c r="K39" s="14">
        <f t="shared" si="1"/>
        <v>0</v>
      </c>
      <c r="L39" s="9"/>
    </row>
    <row r="40" spans="1:12" ht="18" customHeight="1" x14ac:dyDescent="0.25">
      <c r="A40" s="9"/>
      <c r="B40" s="176"/>
      <c r="C40" s="177"/>
      <c r="D40" s="177"/>
      <c r="E40" s="177"/>
      <c r="F40" s="17"/>
      <c r="G40" s="13" t="s">
        <v>5</v>
      </c>
      <c r="H40" s="16">
        <f>عمومی!D30</f>
        <v>0</v>
      </c>
      <c r="I40" s="7" t="s">
        <v>10</v>
      </c>
      <c r="J40" s="13" t="s">
        <v>5</v>
      </c>
      <c r="K40" s="14">
        <f t="shared" si="1"/>
        <v>0</v>
      </c>
      <c r="L40" s="9"/>
    </row>
    <row r="41" spans="1:12" ht="18" customHeight="1" x14ac:dyDescent="0.25">
      <c r="A41" s="9"/>
      <c r="B41" s="167" t="s">
        <v>52</v>
      </c>
      <c r="C41" s="168"/>
      <c r="D41" s="168"/>
      <c r="E41" s="168"/>
      <c r="F41" s="168"/>
      <c r="G41" s="168"/>
      <c r="H41" s="168"/>
      <c r="I41" s="7" t="s">
        <v>10</v>
      </c>
      <c r="J41" s="13" t="s">
        <v>5</v>
      </c>
      <c r="K41" s="15">
        <f>IF(D25=عمومی!P1,SUM(K24:K25),SUM(K24:K40)-K25)</f>
        <v>0</v>
      </c>
      <c r="L41" s="9"/>
    </row>
    <row r="42" spans="1:12" ht="18" customHeight="1" x14ac:dyDescent="0.25">
      <c r="A42" s="9"/>
      <c r="B42" s="167" t="s">
        <v>32</v>
      </c>
      <c r="C42" s="178"/>
      <c r="D42" s="179" t="s">
        <v>185</v>
      </c>
      <c r="E42" s="180"/>
      <c r="F42" s="229"/>
      <c r="G42" s="36">
        <v>2.5</v>
      </c>
      <c r="H42" s="32" t="s">
        <v>34</v>
      </c>
      <c r="I42" s="7" t="s">
        <v>10</v>
      </c>
      <c r="J42" s="13" t="s">
        <v>5</v>
      </c>
      <c r="K42" s="25">
        <f>G42*(K41/100)</f>
        <v>0</v>
      </c>
      <c r="L42" s="9"/>
    </row>
    <row r="43" spans="1:12" ht="18" customHeight="1" x14ac:dyDescent="0.25">
      <c r="A43" s="9"/>
      <c r="B43" s="137" t="s">
        <v>268</v>
      </c>
      <c r="C43" s="138"/>
      <c r="D43" s="144"/>
      <c r="E43" s="144"/>
      <c r="F43" s="119" t="s">
        <v>194</v>
      </c>
      <c r="G43" s="118" t="s">
        <v>0</v>
      </c>
      <c r="H43" s="120"/>
      <c r="I43" s="7" t="s">
        <v>10</v>
      </c>
      <c r="J43" s="13" t="s">
        <v>5</v>
      </c>
      <c r="K43" s="25">
        <f>IF(OR(H43=0,D43=0),0,0.703*(H43/عمومی!D32)^2)</f>
        <v>0</v>
      </c>
      <c r="L43" s="9"/>
    </row>
    <row r="44" spans="1:12" ht="18" customHeight="1" x14ac:dyDescent="0.25">
      <c r="A44" s="9"/>
      <c r="B44" s="137" t="s">
        <v>270</v>
      </c>
      <c r="C44" s="138"/>
      <c r="D44" s="144"/>
      <c r="E44" s="144"/>
      <c r="F44" s="119" t="s">
        <v>194</v>
      </c>
      <c r="G44" s="118" t="s">
        <v>0</v>
      </c>
      <c r="H44" s="120"/>
      <c r="I44" s="7" t="s">
        <v>10</v>
      </c>
      <c r="J44" s="13" t="s">
        <v>5</v>
      </c>
      <c r="K44" s="77">
        <f>IF(OR(H44=0,D44=0),0,0.703*4*(H44/(20*عمومی!D35^1.95))^1.72)</f>
        <v>0</v>
      </c>
      <c r="L44" s="9"/>
    </row>
    <row r="45" spans="1:12" ht="18" customHeight="1" x14ac:dyDescent="0.25">
      <c r="A45" s="9"/>
      <c r="B45" s="167" t="s">
        <v>179</v>
      </c>
      <c r="C45" s="178"/>
      <c r="D45" s="119" t="s">
        <v>184</v>
      </c>
      <c r="E45" s="175" t="s">
        <v>3</v>
      </c>
      <c r="F45" s="177"/>
      <c r="G45" s="174"/>
      <c r="H45" s="32" t="s">
        <v>61</v>
      </c>
      <c r="I45" s="7" t="s">
        <v>10</v>
      </c>
      <c r="J45" s="13" t="s">
        <v>5</v>
      </c>
      <c r="K45" s="14">
        <f>LOOKUP(E45,خصوصی!B38:B48,خصوصی!C38:C48)</f>
        <v>5.5</v>
      </c>
      <c r="L45" s="9"/>
    </row>
    <row r="46" spans="1:12" ht="20.100000000000001" customHeight="1" thickBot="1" x14ac:dyDescent="0.3">
      <c r="A46" s="9"/>
      <c r="B46" s="170" t="s">
        <v>67</v>
      </c>
      <c r="C46" s="171"/>
      <c r="D46" s="26" t="s">
        <v>63</v>
      </c>
      <c r="E46" s="184">
        <f>J46*3.28</f>
        <v>18.04</v>
      </c>
      <c r="F46" s="185"/>
      <c r="G46" s="27" t="s">
        <v>62</v>
      </c>
      <c r="H46" s="28">
        <f>J46*1.42</f>
        <v>7.81</v>
      </c>
      <c r="I46" s="26" t="s">
        <v>5</v>
      </c>
      <c r="J46" s="164">
        <f>SUM(K42:K45)</f>
        <v>5.5</v>
      </c>
      <c r="K46" s="165"/>
      <c r="L46" s="9"/>
    </row>
    <row r="47" spans="1:12" ht="15" customHeight="1" x14ac:dyDescent="0.25">
      <c r="A47" s="182"/>
      <c r="B47" s="182"/>
      <c r="C47" s="182"/>
      <c r="D47" s="33"/>
      <c r="E47" s="183" t="s">
        <v>292</v>
      </c>
      <c r="F47" s="183"/>
      <c r="G47" s="183"/>
      <c r="H47" s="183"/>
      <c r="I47" s="183"/>
      <c r="J47" s="183"/>
      <c r="K47" s="183"/>
      <c r="L47" s="183"/>
    </row>
  </sheetData>
  <sheetProtection algorithmName="SHA-512" hashValue="BzegSJ0wVtpVhscn96sWtrSQ9k8Qcw+OPV9mgW7od5e0ngzOlBftMGTproI3bUbhwEGpqjQZVEY/uRjzhT4fAQ==" saltValue="eRcKsYH4FjX2l5tYDmN6yg==" spinCount="100000" sheet="1" objects="1" scenarios="1"/>
  <mergeCells count="92">
    <mergeCell ref="B25:C25"/>
    <mergeCell ref="D25:H25"/>
    <mergeCell ref="B3:H3"/>
    <mergeCell ref="J3:K5"/>
    <mergeCell ref="E5:H5"/>
    <mergeCell ref="B15:E15"/>
    <mergeCell ref="G15:I15"/>
    <mergeCell ref="J15:K15"/>
    <mergeCell ref="B16:E16"/>
    <mergeCell ref="G16:I16"/>
    <mergeCell ref="J16:K16"/>
    <mergeCell ref="B13:E13"/>
    <mergeCell ref="G13:I13"/>
    <mergeCell ref="J13:K13"/>
    <mergeCell ref="B14:E14"/>
    <mergeCell ref="G14:I14"/>
    <mergeCell ref="B36:C36"/>
    <mergeCell ref="D36:E36"/>
    <mergeCell ref="B37:C37"/>
    <mergeCell ref="D37:E37"/>
    <mergeCell ref="B38:C38"/>
    <mergeCell ref="D38:E38"/>
    <mergeCell ref="B45:C45"/>
    <mergeCell ref="E45:G45"/>
    <mergeCell ref="B39:C39"/>
    <mergeCell ref="D39:E39"/>
    <mergeCell ref="B40:C40"/>
    <mergeCell ref="D40:E40"/>
    <mergeCell ref="B43:C43"/>
    <mergeCell ref="D43:E43"/>
    <mergeCell ref="B44:C44"/>
    <mergeCell ref="D44:E44"/>
    <mergeCell ref="B41:H41"/>
    <mergeCell ref="B42:C42"/>
    <mergeCell ref="D42:F42"/>
    <mergeCell ref="B46:C46"/>
    <mergeCell ref="E46:F46"/>
    <mergeCell ref="J46:K46"/>
    <mergeCell ref="A47:C47"/>
    <mergeCell ref="E47:L47"/>
    <mergeCell ref="D33:E33"/>
    <mergeCell ref="B34:C34"/>
    <mergeCell ref="D34:E34"/>
    <mergeCell ref="B35:C35"/>
    <mergeCell ref="D35:E35"/>
    <mergeCell ref="B33:C33"/>
    <mergeCell ref="B30:C30"/>
    <mergeCell ref="D30:E30"/>
    <mergeCell ref="B31:C31"/>
    <mergeCell ref="D31:E31"/>
    <mergeCell ref="B32:C32"/>
    <mergeCell ref="D32:E32"/>
    <mergeCell ref="B27:C27"/>
    <mergeCell ref="D27:E27"/>
    <mergeCell ref="B28:C28"/>
    <mergeCell ref="D28:E28"/>
    <mergeCell ref="B29:C29"/>
    <mergeCell ref="D29:E29"/>
    <mergeCell ref="B26:C26"/>
    <mergeCell ref="D26:E26"/>
    <mergeCell ref="G26:H26"/>
    <mergeCell ref="B17:I17"/>
    <mergeCell ref="J17:K17"/>
    <mergeCell ref="B18:C18"/>
    <mergeCell ref="F18:G18"/>
    <mergeCell ref="J18:K18"/>
    <mergeCell ref="C19:E19"/>
    <mergeCell ref="F19:H19"/>
    <mergeCell ref="J19:K19"/>
    <mergeCell ref="B20:K20"/>
    <mergeCell ref="B21:H21"/>
    <mergeCell ref="B22:H22"/>
    <mergeCell ref="B23:H23"/>
    <mergeCell ref="B24:H24"/>
    <mergeCell ref="J14:K14"/>
    <mergeCell ref="B11:E11"/>
    <mergeCell ref="G11:I11"/>
    <mergeCell ref="J11:K11"/>
    <mergeCell ref="B12:E12"/>
    <mergeCell ref="G12:I12"/>
    <mergeCell ref="J12:K12"/>
    <mergeCell ref="B9:E9"/>
    <mergeCell ref="G9:I9"/>
    <mergeCell ref="J9:K9"/>
    <mergeCell ref="B10:E10"/>
    <mergeCell ref="G10:I10"/>
    <mergeCell ref="J10:K10"/>
    <mergeCell ref="B8:E8"/>
    <mergeCell ref="G8:I8"/>
    <mergeCell ref="J8:K8"/>
    <mergeCell ref="A1:L1"/>
    <mergeCell ref="B7:K7"/>
  </mergeCells>
  <printOptions horizontalCentered="1" verticalCentered="1"/>
  <pageMargins left="0.31496062992125984" right="0.31496062992125984" top="0.15748031496062992" bottom="0.15748031496062992" header="0.31496062992125984" footer="0.31496062992125984"/>
  <pageSetup paperSize="9" orientation="portrait" r:id="rId1"/>
  <ignoredErrors>
    <ignoredError sqref="C5" unlockedFormula="1"/>
  </ignoredError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400-000000000000}">
          <x14:formula1>
            <xm:f>خصوصی!$B$4:$B$14</xm:f>
          </x14:formula1>
          <xm:sqref>B27:C40</xm:sqref>
        </x14:dataValidation>
        <x14:dataValidation type="list" allowBlank="1" showInputMessage="1" showErrorMessage="1" xr:uid="{00000000-0002-0000-0400-000001000000}">
          <x14:formula1>
            <xm:f>خصوصی!$B$38:$B$48</xm:f>
          </x14:formula1>
          <xm:sqref>E45:G45</xm:sqref>
        </x14:dataValidation>
        <x14:dataValidation type="list" allowBlank="1" showInputMessage="1" showErrorMessage="1" xr:uid="{00000000-0002-0000-0400-000002000000}">
          <x14:formula1>
            <xm:f>خصوصی!$C$3:$N$3</xm:f>
          </x14:formula1>
          <xm:sqref>D27:E40</xm:sqref>
        </x14:dataValidation>
        <x14:dataValidation type="list" allowBlank="1" showInputMessage="1" showErrorMessage="1" xr:uid="{00000000-0002-0000-0400-000003000000}">
          <x14:formula1>
            <xm:f>عمومی!$P$1:$P$2</xm:f>
          </x14:formula1>
          <xm:sqref>D25:H25</xm:sqref>
        </x14:dataValidation>
        <x14:dataValidation type="list" allowBlank="1" showInputMessage="1" showErrorMessage="1" xr:uid="{00000000-0002-0000-0400-000004000000}">
          <x14:formula1>
            <xm:f>خصوصی!$C$33:$F$33</xm:f>
          </x14:formula1>
          <xm:sqref>D44:E44</xm:sqref>
        </x14:dataValidation>
        <x14:dataValidation type="list" allowBlank="1" showInputMessage="1" showErrorMessage="1" xr:uid="{00000000-0002-0000-0400-000005000000}">
          <x14:formula1>
            <xm:f>عمومی!$C$3:$N$3</xm:f>
          </x14:formula1>
          <xm:sqref>D43:E43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54"/>
  <sheetViews>
    <sheetView rightToLeft="1" topLeftCell="A16" zoomScale="145" zoomScaleNormal="145" workbookViewId="0">
      <selection activeCell="B32" sqref="B32:D32"/>
    </sheetView>
  </sheetViews>
  <sheetFormatPr defaultRowHeight="18" x14ac:dyDescent="0.25"/>
  <cols>
    <col min="1" max="1" width="3" style="2" bestFit="1" customWidth="1"/>
    <col min="2" max="2" width="17.7109375" style="2" bestFit="1" customWidth="1"/>
    <col min="3" max="3" width="9.140625" style="2"/>
    <col min="4" max="4" width="9.5703125" style="2" bestFit="1" customWidth="1"/>
    <col min="5" max="6" width="9.140625" style="2"/>
    <col min="7" max="7" width="9.5703125" style="2" bestFit="1" customWidth="1"/>
    <col min="8" max="15" width="9.140625" style="2"/>
    <col min="16" max="16" width="17.7109375" style="2" bestFit="1" customWidth="1"/>
    <col min="17" max="16384" width="9.140625" style="2"/>
  </cols>
  <sheetData>
    <row r="1" spans="1:28" x14ac:dyDescent="0.25">
      <c r="P1" s="2" t="s">
        <v>183</v>
      </c>
    </row>
    <row r="2" spans="1:28" x14ac:dyDescent="0.25">
      <c r="C2" s="2">
        <v>1</v>
      </c>
      <c r="D2" s="2">
        <v>2</v>
      </c>
      <c r="E2" s="2">
        <v>3</v>
      </c>
      <c r="F2" s="2">
        <v>4</v>
      </c>
      <c r="G2" s="2">
        <v>5</v>
      </c>
      <c r="H2" s="2">
        <v>6</v>
      </c>
      <c r="I2" s="2">
        <v>7</v>
      </c>
      <c r="J2" s="2">
        <v>8</v>
      </c>
      <c r="K2" s="2">
        <v>9</v>
      </c>
      <c r="L2" s="2">
        <v>10</v>
      </c>
      <c r="M2" s="2">
        <v>11</v>
      </c>
      <c r="N2" s="2">
        <v>12</v>
      </c>
      <c r="P2" s="2" t="s">
        <v>187</v>
      </c>
    </row>
    <row r="3" spans="1:28" ht="18" customHeight="1" x14ac:dyDescent="0.25">
      <c r="B3" s="2" t="s">
        <v>142</v>
      </c>
      <c r="C3" s="2" t="s">
        <v>20</v>
      </c>
      <c r="D3" s="2" t="s">
        <v>21</v>
      </c>
      <c r="E3" s="2" t="s">
        <v>22</v>
      </c>
      <c r="F3" s="2" t="s">
        <v>23</v>
      </c>
      <c r="G3" s="2" t="s">
        <v>24</v>
      </c>
      <c r="H3" s="2" t="s">
        <v>25</v>
      </c>
      <c r="I3" s="2" t="s">
        <v>26</v>
      </c>
      <c r="J3" s="2" t="s">
        <v>27</v>
      </c>
      <c r="K3" s="2" t="s">
        <v>149</v>
      </c>
      <c r="L3" s="2" t="s">
        <v>148</v>
      </c>
      <c r="M3" s="2" t="s">
        <v>147</v>
      </c>
      <c r="N3" s="2" t="s">
        <v>146</v>
      </c>
      <c r="P3" s="2" t="s">
        <v>143</v>
      </c>
      <c r="Q3" s="2" t="s">
        <v>20</v>
      </c>
      <c r="R3" s="2" t="s">
        <v>21</v>
      </c>
      <c r="S3" s="2" t="s">
        <v>22</v>
      </c>
      <c r="T3" s="2" t="s">
        <v>23</v>
      </c>
      <c r="U3" s="2" t="s">
        <v>24</v>
      </c>
      <c r="V3" s="2" t="s">
        <v>25</v>
      </c>
      <c r="W3" s="2" t="s">
        <v>26</v>
      </c>
      <c r="X3" s="2" t="s">
        <v>27</v>
      </c>
      <c r="Y3" s="2" t="s">
        <v>138</v>
      </c>
      <c r="Z3" s="2" t="s">
        <v>139</v>
      </c>
      <c r="AA3" s="2" t="s">
        <v>140</v>
      </c>
      <c r="AB3" s="2" t="s">
        <v>141</v>
      </c>
    </row>
    <row r="4" spans="1:28" x14ac:dyDescent="0.45">
      <c r="A4" s="2">
        <v>1</v>
      </c>
      <c r="B4" s="3" t="s">
        <v>70</v>
      </c>
      <c r="C4" s="2">
        <f>Q4*0.3</f>
        <v>0.3</v>
      </c>
      <c r="D4" s="2">
        <f t="shared" ref="D4:N8" si="0">R4*0.3</f>
        <v>0.42</v>
      </c>
      <c r="E4" s="2">
        <f t="shared" si="0"/>
        <v>0.54</v>
      </c>
      <c r="F4" s="2">
        <f t="shared" si="0"/>
        <v>0.78</v>
      </c>
      <c r="G4" s="2">
        <f t="shared" si="0"/>
        <v>0.98999999999999988</v>
      </c>
      <c r="H4" s="2">
        <f t="shared" si="0"/>
        <v>1.32</v>
      </c>
      <c r="I4" s="2">
        <f t="shared" si="0"/>
        <v>1.68</v>
      </c>
      <c r="J4" s="2">
        <f t="shared" si="0"/>
        <v>2.16</v>
      </c>
      <c r="K4" s="2">
        <f t="shared" si="0"/>
        <v>3</v>
      </c>
      <c r="L4" s="2">
        <f t="shared" si="0"/>
        <v>4.2</v>
      </c>
      <c r="M4" s="2">
        <f t="shared" si="0"/>
        <v>5.7</v>
      </c>
      <c r="N4" s="2">
        <f t="shared" si="0"/>
        <v>7.1999999999999993</v>
      </c>
      <c r="P4" s="3" t="s">
        <v>70</v>
      </c>
      <c r="Q4" s="2">
        <v>1</v>
      </c>
      <c r="R4" s="2">
        <v>1.4</v>
      </c>
      <c r="S4" s="2">
        <v>1.8</v>
      </c>
      <c r="T4" s="2">
        <v>2.6</v>
      </c>
      <c r="U4" s="2">
        <v>3.3</v>
      </c>
      <c r="V4" s="2">
        <v>4.4000000000000004</v>
      </c>
      <c r="W4" s="2">
        <v>5.6</v>
      </c>
      <c r="X4" s="2">
        <v>7.2</v>
      </c>
      <c r="Y4" s="2">
        <v>10</v>
      </c>
      <c r="Z4" s="2">
        <v>14</v>
      </c>
      <c r="AA4" s="2">
        <v>19</v>
      </c>
      <c r="AB4" s="2">
        <v>24</v>
      </c>
    </row>
    <row r="5" spans="1:28" x14ac:dyDescent="0.45">
      <c r="A5" s="2">
        <v>2</v>
      </c>
      <c r="B5" s="3" t="s">
        <v>14</v>
      </c>
      <c r="C5" s="2">
        <f t="shared" ref="C5:N14" si="1">Q5*0.3</f>
        <v>0.24</v>
      </c>
      <c r="D5" s="2">
        <f t="shared" si="0"/>
        <v>0.27</v>
      </c>
      <c r="E5" s="2">
        <f t="shared" si="0"/>
        <v>0.39</v>
      </c>
      <c r="F5" s="2">
        <f t="shared" si="0"/>
        <v>0.51</v>
      </c>
      <c r="G5" s="2">
        <f t="shared" si="0"/>
        <v>0.63</v>
      </c>
      <c r="H5" s="2">
        <f t="shared" si="0"/>
        <v>0.78</v>
      </c>
      <c r="I5" s="2">
        <f t="shared" si="0"/>
        <v>0.96</v>
      </c>
      <c r="J5" s="2">
        <f t="shared" si="0"/>
        <v>1.2</v>
      </c>
      <c r="K5" s="2">
        <f t="shared" si="0"/>
        <v>1.56</v>
      </c>
      <c r="L5" s="2">
        <f t="shared" si="0"/>
        <v>1.95</v>
      </c>
      <c r="M5" s="2">
        <f t="shared" si="0"/>
        <v>2.37</v>
      </c>
      <c r="N5" s="2">
        <f t="shared" si="0"/>
        <v>3</v>
      </c>
      <c r="P5" s="3" t="s">
        <v>14</v>
      </c>
      <c r="Q5" s="2">
        <v>0.8</v>
      </c>
      <c r="R5" s="2">
        <v>0.9</v>
      </c>
      <c r="S5" s="2">
        <v>1.3</v>
      </c>
      <c r="T5" s="2">
        <v>1.7</v>
      </c>
      <c r="U5" s="2">
        <v>2.1</v>
      </c>
      <c r="V5" s="2">
        <v>2.6</v>
      </c>
      <c r="W5" s="2">
        <v>3.2</v>
      </c>
      <c r="X5" s="2">
        <v>4</v>
      </c>
      <c r="Y5" s="2">
        <v>5.2</v>
      </c>
      <c r="Z5" s="2">
        <v>6.5</v>
      </c>
      <c r="AA5" s="2">
        <v>7.9</v>
      </c>
      <c r="AB5" s="2">
        <v>10</v>
      </c>
    </row>
    <row r="6" spans="1:28" x14ac:dyDescent="0.45">
      <c r="A6" s="2">
        <v>3</v>
      </c>
      <c r="B6" s="3" t="s">
        <v>15</v>
      </c>
      <c r="C6" s="2">
        <f t="shared" si="1"/>
        <v>0.48</v>
      </c>
      <c r="D6" s="2">
        <f t="shared" si="0"/>
        <v>0.6</v>
      </c>
      <c r="E6" s="2">
        <f t="shared" si="0"/>
        <v>0.78</v>
      </c>
      <c r="F6" s="2">
        <f t="shared" si="0"/>
        <v>0.98999999999999988</v>
      </c>
      <c r="G6" s="2">
        <f t="shared" si="0"/>
        <v>1.2</v>
      </c>
      <c r="H6" s="2">
        <f t="shared" si="0"/>
        <v>1.5</v>
      </c>
      <c r="I6" s="2">
        <f t="shared" si="0"/>
        <v>1.7999999999999998</v>
      </c>
      <c r="J6" s="2">
        <f t="shared" si="0"/>
        <v>2.25</v>
      </c>
      <c r="K6" s="2">
        <f t="shared" si="0"/>
        <v>3</v>
      </c>
      <c r="L6" s="2">
        <f t="shared" si="0"/>
        <v>3.9</v>
      </c>
      <c r="M6" s="2">
        <f t="shared" si="0"/>
        <v>4.8</v>
      </c>
      <c r="N6" s="2">
        <f t="shared" si="0"/>
        <v>6</v>
      </c>
      <c r="P6" s="3" t="s">
        <v>15</v>
      </c>
      <c r="Q6" s="2">
        <v>1.6</v>
      </c>
      <c r="R6" s="2">
        <v>2</v>
      </c>
      <c r="S6" s="2">
        <v>2.6</v>
      </c>
      <c r="T6" s="2">
        <v>3.3</v>
      </c>
      <c r="U6" s="2">
        <v>4</v>
      </c>
      <c r="V6" s="2">
        <v>5</v>
      </c>
      <c r="W6" s="2">
        <v>6</v>
      </c>
      <c r="X6" s="2">
        <v>7.5</v>
      </c>
      <c r="Y6" s="2">
        <v>10</v>
      </c>
      <c r="Z6" s="2">
        <v>13</v>
      </c>
      <c r="AA6" s="2">
        <v>16</v>
      </c>
      <c r="AB6" s="2">
        <v>20</v>
      </c>
    </row>
    <row r="7" spans="1:28" x14ac:dyDescent="0.45">
      <c r="A7" s="2">
        <v>4</v>
      </c>
      <c r="B7" s="3" t="s">
        <v>16</v>
      </c>
      <c r="C7" s="2">
        <f t="shared" si="1"/>
        <v>0.3</v>
      </c>
      <c r="D7" s="2">
        <f t="shared" si="0"/>
        <v>0.42</v>
      </c>
      <c r="E7" s="2">
        <f t="shared" si="0"/>
        <v>0.51</v>
      </c>
      <c r="F7" s="2">
        <f t="shared" si="0"/>
        <v>0.69</v>
      </c>
      <c r="G7" s="2">
        <f t="shared" si="0"/>
        <v>0.78</v>
      </c>
      <c r="H7" s="2">
        <f t="shared" si="0"/>
        <v>0.98999999999999988</v>
      </c>
      <c r="I7" s="2">
        <f t="shared" si="0"/>
        <v>1.2299999999999998</v>
      </c>
      <c r="J7" s="2">
        <f t="shared" si="0"/>
        <v>1.5</v>
      </c>
      <c r="K7" s="2">
        <f t="shared" si="0"/>
        <v>2.0099999999999998</v>
      </c>
      <c r="L7" s="2">
        <f t="shared" si="0"/>
        <v>2.4599999999999995</v>
      </c>
      <c r="M7" s="2">
        <f t="shared" si="0"/>
        <v>3</v>
      </c>
      <c r="N7" s="2">
        <f t="shared" si="0"/>
        <v>3.9</v>
      </c>
      <c r="P7" s="3" t="s">
        <v>16</v>
      </c>
      <c r="Q7" s="2">
        <v>1</v>
      </c>
      <c r="R7" s="2">
        <v>1.4</v>
      </c>
      <c r="S7" s="2">
        <v>1.7</v>
      </c>
      <c r="T7" s="2">
        <v>2.2999999999999998</v>
      </c>
      <c r="U7" s="2">
        <v>2.6</v>
      </c>
      <c r="V7" s="2">
        <v>3.3</v>
      </c>
      <c r="W7" s="2">
        <v>4.0999999999999996</v>
      </c>
      <c r="X7" s="2">
        <v>5</v>
      </c>
      <c r="Y7" s="2">
        <v>6.7</v>
      </c>
      <c r="Z7" s="2">
        <v>8.1999999999999993</v>
      </c>
      <c r="AA7" s="2">
        <v>10</v>
      </c>
      <c r="AB7" s="2">
        <v>13</v>
      </c>
    </row>
    <row r="8" spans="1:28" x14ac:dyDescent="0.45">
      <c r="A8" s="2">
        <v>5</v>
      </c>
      <c r="B8" s="3" t="s">
        <v>17</v>
      </c>
      <c r="C8" s="2">
        <f t="shared" si="1"/>
        <v>0.89999999999999991</v>
      </c>
      <c r="D8" s="2">
        <f t="shared" si="0"/>
        <v>1.2</v>
      </c>
      <c r="E8" s="2">
        <f t="shared" si="0"/>
        <v>1.5</v>
      </c>
      <c r="F8" s="2">
        <f t="shared" si="0"/>
        <v>2.1</v>
      </c>
      <c r="G8" s="2">
        <f t="shared" si="0"/>
        <v>2.4</v>
      </c>
      <c r="H8" s="2">
        <f t="shared" si="0"/>
        <v>3</v>
      </c>
      <c r="I8" s="2">
        <f t="shared" si="0"/>
        <v>3.5999999999999996</v>
      </c>
      <c r="J8" s="2">
        <f t="shared" si="0"/>
        <v>4.5</v>
      </c>
      <c r="K8" s="2">
        <f t="shared" si="0"/>
        <v>6.3</v>
      </c>
      <c r="L8" s="2">
        <f t="shared" si="0"/>
        <v>7.5</v>
      </c>
      <c r="M8" s="2">
        <f t="shared" si="0"/>
        <v>9</v>
      </c>
      <c r="N8" s="2">
        <f t="shared" si="0"/>
        <v>12</v>
      </c>
      <c r="P8" s="3" t="s">
        <v>17</v>
      </c>
      <c r="Q8" s="2">
        <v>3</v>
      </c>
      <c r="R8" s="2">
        <v>4</v>
      </c>
      <c r="S8" s="2">
        <v>5</v>
      </c>
      <c r="T8" s="2">
        <v>7</v>
      </c>
      <c r="U8" s="2">
        <v>8</v>
      </c>
      <c r="V8" s="2">
        <v>10</v>
      </c>
      <c r="W8" s="2">
        <v>12</v>
      </c>
      <c r="X8" s="2">
        <v>15</v>
      </c>
      <c r="Y8" s="2">
        <v>21</v>
      </c>
      <c r="Z8" s="2">
        <v>25</v>
      </c>
      <c r="AA8" s="2">
        <v>30</v>
      </c>
      <c r="AB8" s="2">
        <v>40</v>
      </c>
    </row>
    <row r="9" spans="1:28" x14ac:dyDescent="0.45">
      <c r="A9" s="2">
        <v>6</v>
      </c>
      <c r="B9" s="3" t="s">
        <v>18</v>
      </c>
      <c r="C9" s="2">
        <v>0.24</v>
      </c>
      <c r="D9" s="2">
        <v>0.33</v>
      </c>
      <c r="E9" s="2">
        <v>0.45</v>
      </c>
      <c r="F9" s="2">
        <v>0.56999999999999995</v>
      </c>
      <c r="G9" s="2">
        <v>0.67</v>
      </c>
      <c r="H9" s="2">
        <v>0.91</v>
      </c>
      <c r="I9" s="2">
        <v>1.1200000000000001</v>
      </c>
      <c r="J9" s="2">
        <v>1.37</v>
      </c>
      <c r="K9" s="2">
        <v>1.38</v>
      </c>
      <c r="L9" s="2">
        <v>1.39</v>
      </c>
      <c r="M9" s="2">
        <v>1.4</v>
      </c>
      <c r="N9" s="2">
        <v>1.41</v>
      </c>
      <c r="P9" s="3" t="s">
        <v>18</v>
      </c>
    </row>
    <row r="10" spans="1:28" x14ac:dyDescent="0.45">
      <c r="A10" s="2">
        <v>7</v>
      </c>
      <c r="B10" s="3" t="s">
        <v>8</v>
      </c>
      <c r="C10" s="2">
        <f t="shared" si="1"/>
        <v>0.21</v>
      </c>
      <c r="D10" s="2">
        <f t="shared" si="1"/>
        <v>0.27</v>
      </c>
      <c r="E10" s="2">
        <f t="shared" si="1"/>
        <v>0.3</v>
      </c>
      <c r="F10" s="2">
        <f t="shared" si="1"/>
        <v>0.44999999999999996</v>
      </c>
      <c r="G10" s="2">
        <f t="shared" si="1"/>
        <v>0.54</v>
      </c>
      <c r="H10" s="2">
        <f t="shared" si="1"/>
        <v>0.69</v>
      </c>
      <c r="I10" s="2">
        <f t="shared" si="1"/>
        <v>0.84</v>
      </c>
      <c r="J10" s="2">
        <f t="shared" si="1"/>
        <v>0.96</v>
      </c>
      <c r="K10" s="2">
        <f t="shared" si="1"/>
        <v>1.3499999999999999</v>
      </c>
      <c r="L10" s="2">
        <f t="shared" si="1"/>
        <v>1.7999999999999998</v>
      </c>
      <c r="M10" s="2">
        <f t="shared" si="1"/>
        <v>2.1</v>
      </c>
      <c r="N10" s="2">
        <f t="shared" si="1"/>
        <v>2.6999999999999997</v>
      </c>
      <c r="P10" s="3" t="s">
        <v>8</v>
      </c>
      <c r="Q10" s="2">
        <v>0.7</v>
      </c>
      <c r="R10" s="2">
        <v>0.9</v>
      </c>
      <c r="S10" s="2">
        <v>1</v>
      </c>
      <c r="T10" s="2">
        <v>1.5</v>
      </c>
      <c r="U10" s="2">
        <v>1.8</v>
      </c>
      <c r="V10" s="2">
        <v>2.2999999999999998</v>
      </c>
      <c r="W10" s="2">
        <v>2.8</v>
      </c>
      <c r="X10" s="2">
        <v>3.2</v>
      </c>
      <c r="Y10" s="2">
        <v>4.5</v>
      </c>
      <c r="Z10" s="2">
        <v>6</v>
      </c>
      <c r="AA10" s="2">
        <v>7</v>
      </c>
      <c r="AB10" s="2">
        <v>9</v>
      </c>
    </row>
    <row r="11" spans="1:28" x14ac:dyDescent="0.45">
      <c r="A11" s="2">
        <v>8</v>
      </c>
      <c r="B11" s="3" t="s">
        <v>6</v>
      </c>
      <c r="C11" s="2">
        <f t="shared" si="1"/>
        <v>5.3999999999999995</v>
      </c>
      <c r="D11" s="2">
        <f t="shared" si="1"/>
        <v>6.6</v>
      </c>
      <c r="E11" s="2">
        <f t="shared" si="1"/>
        <v>8.6999999999999993</v>
      </c>
      <c r="F11" s="2">
        <f t="shared" si="1"/>
        <v>11.4</v>
      </c>
      <c r="G11" s="2">
        <f t="shared" si="1"/>
        <v>12.9</v>
      </c>
      <c r="H11" s="2">
        <f t="shared" si="1"/>
        <v>16.5</v>
      </c>
      <c r="I11" s="2">
        <f t="shared" si="1"/>
        <v>20.7</v>
      </c>
      <c r="J11" s="2">
        <f t="shared" si="1"/>
        <v>25.2</v>
      </c>
      <c r="K11" s="2">
        <f t="shared" si="1"/>
        <v>36</v>
      </c>
      <c r="L11" s="2">
        <f t="shared" si="1"/>
        <v>42</v>
      </c>
      <c r="M11" s="2">
        <f t="shared" si="1"/>
        <v>51</v>
      </c>
      <c r="N11" s="2">
        <f t="shared" si="1"/>
        <v>66</v>
      </c>
      <c r="P11" s="3" t="s">
        <v>6</v>
      </c>
      <c r="Q11" s="2">
        <v>18</v>
      </c>
      <c r="R11" s="2">
        <v>22</v>
      </c>
      <c r="S11" s="2">
        <v>29</v>
      </c>
      <c r="T11" s="2">
        <v>38</v>
      </c>
      <c r="U11" s="2">
        <v>43</v>
      </c>
      <c r="V11" s="2">
        <v>55</v>
      </c>
      <c r="W11" s="2">
        <v>69</v>
      </c>
      <c r="X11" s="2">
        <v>84</v>
      </c>
      <c r="Y11" s="2">
        <v>120</v>
      </c>
      <c r="Z11" s="2">
        <v>140</v>
      </c>
      <c r="AA11" s="2">
        <v>170</v>
      </c>
      <c r="AB11" s="2">
        <v>220</v>
      </c>
    </row>
    <row r="12" spans="1:28" ht="18" customHeight="1" x14ac:dyDescent="0.45">
      <c r="A12" s="2">
        <v>9</v>
      </c>
      <c r="B12" s="3" t="s">
        <v>19</v>
      </c>
      <c r="C12" s="2">
        <f t="shared" si="1"/>
        <v>2.1</v>
      </c>
      <c r="D12" s="2">
        <f t="shared" si="1"/>
        <v>2.6999999999999997</v>
      </c>
      <c r="E12" s="2">
        <f t="shared" si="1"/>
        <v>3.5999999999999996</v>
      </c>
      <c r="F12" s="2">
        <f t="shared" si="1"/>
        <v>4.5</v>
      </c>
      <c r="G12" s="2">
        <f t="shared" si="1"/>
        <v>5.3999999999999995</v>
      </c>
      <c r="H12" s="2">
        <f t="shared" si="1"/>
        <v>7.1999999999999993</v>
      </c>
      <c r="I12" s="2">
        <f t="shared" si="1"/>
        <v>8.6999999999999993</v>
      </c>
      <c r="J12" s="2">
        <f t="shared" si="1"/>
        <v>10.5</v>
      </c>
      <c r="K12" s="2">
        <f t="shared" si="1"/>
        <v>14.1</v>
      </c>
      <c r="L12" s="2">
        <f t="shared" si="1"/>
        <v>17.399999999999999</v>
      </c>
      <c r="M12" s="2">
        <f t="shared" si="1"/>
        <v>21</v>
      </c>
      <c r="N12" s="2">
        <f t="shared" si="1"/>
        <v>25.5</v>
      </c>
      <c r="P12" s="3" t="s">
        <v>19</v>
      </c>
      <c r="Q12" s="2">
        <v>7</v>
      </c>
      <c r="R12" s="2">
        <v>9</v>
      </c>
      <c r="S12" s="2">
        <v>12</v>
      </c>
      <c r="T12" s="2">
        <v>15</v>
      </c>
      <c r="U12" s="2">
        <v>18</v>
      </c>
      <c r="V12" s="2">
        <v>24</v>
      </c>
      <c r="W12" s="2">
        <v>29</v>
      </c>
      <c r="X12" s="2">
        <v>35</v>
      </c>
      <c r="Y12" s="2">
        <v>47</v>
      </c>
      <c r="Z12" s="2">
        <v>58</v>
      </c>
      <c r="AA12" s="2">
        <v>70</v>
      </c>
      <c r="AB12" s="2">
        <v>85</v>
      </c>
    </row>
    <row r="13" spans="1:28" x14ac:dyDescent="0.45">
      <c r="A13" s="2">
        <v>10</v>
      </c>
      <c r="B13" s="3" t="s">
        <v>11</v>
      </c>
      <c r="C13" s="2">
        <f t="shared" si="1"/>
        <v>1.7999999999999998</v>
      </c>
      <c r="D13" s="2">
        <f t="shared" si="1"/>
        <v>2.4</v>
      </c>
      <c r="E13" s="2">
        <f t="shared" si="1"/>
        <v>3</v>
      </c>
      <c r="F13" s="2">
        <f t="shared" si="1"/>
        <v>4.2</v>
      </c>
      <c r="G13" s="2">
        <f t="shared" si="1"/>
        <v>4.8</v>
      </c>
      <c r="H13" s="2">
        <f t="shared" si="1"/>
        <v>6</v>
      </c>
      <c r="I13" s="2">
        <f t="shared" si="1"/>
        <v>7.5</v>
      </c>
      <c r="J13" s="2">
        <f t="shared" si="1"/>
        <v>9</v>
      </c>
      <c r="K13" s="2">
        <f t="shared" si="1"/>
        <v>12</v>
      </c>
      <c r="L13" s="2">
        <f t="shared" si="1"/>
        <v>15</v>
      </c>
      <c r="M13" s="2">
        <f t="shared" si="1"/>
        <v>18</v>
      </c>
      <c r="N13" s="2">
        <f t="shared" si="1"/>
        <v>24</v>
      </c>
      <c r="P13" s="3" t="s">
        <v>11</v>
      </c>
      <c r="Q13" s="2">
        <v>6</v>
      </c>
      <c r="R13" s="2">
        <v>8</v>
      </c>
      <c r="S13" s="2">
        <v>10</v>
      </c>
      <c r="T13" s="2">
        <v>14</v>
      </c>
      <c r="U13" s="2">
        <v>16</v>
      </c>
      <c r="V13" s="2">
        <v>20</v>
      </c>
      <c r="W13" s="2">
        <v>25</v>
      </c>
      <c r="X13" s="2">
        <v>30</v>
      </c>
      <c r="Y13" s="2">
        <v>40</v>
      </c>
      <c r="Z13" s="2">
        <v>50</v>
      </c>
      <c r="AA13" s="2">
        <v>60</v>
      </c>
      <c r="AB13" s="2">
        <v>80</v>
      </c>
    </row>
    <row r="14" spans="1:28" x14ac:dyDescent="0.45">
      <c r="A14" s="2">
        <v>11</v>
      </c>
      <c r="B14" s="3" t="s">
        <v>69</v>
      </c>
      <c r="C14" s="2">
        <f t="shared" si="1"/>
        <v>0.54</v>
      </c>
      <c r="D14" s="2">
        <f t="shared" si="1"/>
        <v>0.84</v>
      </c>
      <c r="E14" s="2">
        <f t="shared" si="1"/>
        <v>1.1100000000000001</v>
      </c>
      <c r="F14" s="2">
        <f t="shared" si="1"/>
        <v>1.5899999999999999</v>
      </c>
      <c r="G14" s="2">
        <f t="shared" si="1"/>
        <v>1.9799999999999998</v>
      </c>
      <c r="H14" s="2">
        <f t="shared" si="1"/>
        <v>2.6999999999999997</v>
      </c>
      <c r="I14" s="2">
        <f t="shared" si="1"/>
        <v>3.5999999999999996</v>
      </c>
      <c r="J14" s="2">
        <f t="shared" si="1"/>
        <v>4.2</v>
      </c>
      <c r="K14" s="2">
        <f t="shared" si="1"/>
        <v>6</v>
      </c>
      <c r="L14" s="2">
        <f t="shared" si="1"/>
        <v>8.1</v>
      </c>
      <c r="M14" s="2">
        <f t="shared" si="1"/>
        <v>9.9</v>
      </c>
      <c r="N14" s="2">
        <f t="shared" si="1"/>
        <v>14.1</v>
      </c>
      <c r="P14" s="3" t="s">
        <v>69</v>
      </c>
      <c r="Q14" s="2">
        <v>1.8</v>
      </c>
      <c r="R14" s="2">
        <v>2.8</v>
      </c>
      <c r="S14" s="2">
        <v>3.7</v>
      </c>
      <c r="T14" s="2">
        <v>5.3</v>
      </c>
      <c r="U14" s="2">
        <v>6.6</v>
      </c>
      <c r="V14" s="2">
        <v>9</v>
      </c>
      <c r="W14" s="2">
        <v>12</v>
      </c>
      <c r="X14" s="2">
        <v>14</v>
      </c>
      <c r="Y14" s="2">
        <v>20</v>
      </c>
      <c r="Z14" s="2">
        <v>27</v>
      </c>
      <c r="AA14" s="2">
        <v>33</v>
      </c>
      <c r="AB14" s="2">
        <v>47</v>
      </c>
    </row>
    <row r="15" spans="1:28" x14ac:dyDescent="0.45">
      <c r="B15" s="3" t="s">
        <v>267</v>
      </c>
      <c r="C15" s="2">
        <v>8</v>
      </c>
      <c r="D15" s="2">
        <v>15</v>
      </c>
      <c r="E15" s="2">
        <v>22</v>
      </c>
      <c r="F15" s="2">
        <v>38</v>
      </c>
      <c r="G15" s="2">
        <v>42</v>
      </c>
      <c r="H15" s="2">
        <v>70</v>
      </c>
      <c r="I15" s="2">
        <v>110</v>
      </c>
      <c r="J15" s="2">
        <v>160</v>
      </c>
      <c r="K15" s="2">
        <v>260</v>
      </c>
      <c r="L15" s="2">
        <v>400</v>
      </c>
      <c r="M15" s="2">
        <v>570</v>
      </c>
      <c r="N15" s="2">
        <v>950</v>
      </c>
      <c r="P15" s="3"/>
    </row>
    <row r="16" spans="1:28" x14ac:dyDescent="0.45">
      <c r="B16" s="3"/>
      <c r="P16" s="3"/>
    </row>
    <row r="17" spans="2:4" x14ac:dyDescent="0.45">
      <c r="B17" s="3">
        <f>'پمپ آبرسانی عمومی'!B27</f>
        <v>0</v>
      </c>
      <c r="C17" s="2">
        <f>'پمپ آبرسانی عمومی'!D27</f>
        <v>0</v>
      </c>
      <c r="D17" s="2">
        <f>IF(OR(B17=0,C17=0),0,(INDEX($C$4:$N$14,(LOOKUP(B17,$B$4:$B$14,$A$4:$A$14)),(LOOKUP(C17,$C$3:$N$3,$C$2:$N$2)))))</f>
        <v>0</v>
      </c>
    </row>
    <row r="18" spans="2:4" x14ac:dyDescent="0.45">
      <c r="B18" s="3">
        <f>'پمپ آبرسانی عمومی'!B28</f>
        <v>0</v>
      </c>
      <c r="C18" s="2">
        <f>'پمپ آبرسانی عمومی'!D28</f>
        <v>0</v>
      </c>
      <c r="D18" s="2">
        <f t="array" ref="D18">IF(OR(B18=0,C18=0),0,(INDEX($C$4:$J$14,(LOOKUP(B18,$B$4:$B$14,$A$4:$A$14)),(LOOKUP(C18,$C$3:$J$3,$C$2:$J$2)))))</f>
        <v>0</v>
      </c>
    </row>
    <row r="19" spans="2:4" x14ac:dyDescent="0.45">
      <c r="B19" s="3">
        <f>'پمپ آبرسانی عمومی'!B29</f>
        <v>0</v>
      </c>
      <c r="C19" s="2">
        <f>'پمپ آبرسانی عمومی'!D29</f>
        <v>0</v>
      </c>
      <c r="D19" s="2">
        <f t="array" ref="D19">IF(OR(B19=0,C19=0),0,(INDEX($C$4:$J$14,(LOOKUP(B19,$B$4:$B$14,$A$4:$A$14)),(LOOKUP(C19,$C$3:$J$3,$C$2:$J$2)))))</f>
        <v>0</v>
      </c>
    </row>
    <row r="20" spans="2:4" x14ac:dyDescent="0.45">
      <c r="B20" s="3">
        <f>'پمپ آبرسانی عمومی'!B30</f>
        <v>0</v>
      </c>
      <c r="C20" s="2">
        <f>'پمپ آبرسانی عمومی'!D30</f>
        <v>0</v>
      </c>
      <c r="D20" s="2">
        <f t="array" ref="D20">IF(OR(B20=0,C20=0),0,(INDEX($C$4:$J$14,(LOOKUP(B20,$B$4:$B$14,$A$4:$A$14)),(LOOKUP(C20,$C$3:$J$3,$C$2:$J$2)))))</f>
        <v>0</v>
      </c>
    </row>
    <row r="21" spans="2:4" x14ac:dyDescent="0.45">
      <c r="B21" s="3">
        <f>'پمپ آبرسانی عمومی'!B31</f>
        <v>0</v>
      </c>
      <c r="C21" s="2">
        <f>'پمپ آبرسانی عمومی'!D31</f>
        <v>0</v>
      </c>
      <c r="D21" s="2">
        <f t="array" ref="D21">IF(OR(B21=0,C21=0),0,(INDEX($C$4:$J$14,(LOOKUP(B21,$B$4:$B$14,$A$4:$A$14)),(LOOKUP(C21,$C$3:$J$3,$C$2:$J$2)))))</f>
        <v>0</v>
      </c>
    </row>
    <row r="22" spans="2:4" x14ac:dyDescent="0.45">
      <c r="B22" s="3">
        <f>'پمپ آبرسانی عمومی'!B32</f>
        <v>0</v>
      </c>
      <c r="C22" s="2">
        <f>'پمپ آبرسانی عمومی'!D32</f>
        <v>0</v>
      </c>
      <c r="D22" s="2">
        <f t="array" ref="D22">IF(OR(B22=0,C22=0),0,(INDEX($C$4:$J$14,(LOOKUP(B22,$B$4:$B$14,$A$4:$A$14)),(LOOKUP(C22,$C$3:$J$3,$C$2:$J$2)))))</f>
        <v>0</v>
      </c>
    </row>
    <row r="23" spans="2:4" x14ac:dyDescent="0.45">
      <c r="B23" s="3">
        <f>'پمپ آبرسانی عمومی'!B33</f>
        <v>0</v>
      </c>
      <c r="C23" s="2">
        <f>'پمپ آبرسانی عمومی'!D33</f>
        <v>0</v>
      </c>
      <c r="D23" s="2">
        <f t="array" ref="D23">IF(OR(B23=0,C23=0),0,(INDEX($C$4:$J$14,(LOOKUP(B23,$B$4:$B$14,$A$4:$A$14)),(LOOKUP(C23,$C$3:$J$3,$C$2:$J$2)))))</f>
        <v>0</v>
      </c>
    </row>
    <row r="24" spans="2:4" x14ac:dyDescent="0.45">
      <c r="B24" s="3">
        <f>'پمپ آبرسانی عمومی'!B34</f>
        <v>0</v>
      </c>
      <c r="C24" s="2">
        <f>'پمپ آبرسانی عمومی'!D34</f>
        <v>0</v>
      </c>
      <c r="D24" s="2">
        <f t="array" ref="D24">IF(OR(B24=0,C24=0),0,(INDEX($C$4:$J$14,(LOOKUP(B24,$B$4:$B$14,$A$4:$A$14)),(LOOKUP(C24,$C$3:$J$3,$C$2:$J$2)))))</f>
        <v>0</v>
      </c>
    </row>
    <row r="25" spans="2:4" x14ac:dyDescent="0.45">
      <c r="B25" s="3">
        <f>'پمپ آبرسانی عمومی'!B35</f>
        <v>0</v>
      </c>
      <c r="C25" s="2">
        <f>'پمپ آبرسانی عمومی'!D35</f>
        <v>0</v>
      </c>
      <c r="D25" s="2">
        <f t="array" ref="D25">IF(OR(B25=0,C25=0),0,(INDEX($C$4:$J$14,(LOOKUP(B25,$B$4:$B$14,$A$4:$A$14)),(LOOKUP(C25,$C$3:$J$3,$C$2:$J$2)))))</f>
        <v>0</v>
      </c>
    </row>
    <row r="26" spans="2:4" x14ac:dyDescent="0.45">
      <c r="B26" s="3">
        <f>'پمپ آبرسانی عمومی'!B36</f>
        <v>0</v>
      </c>
      <c r="C26" s="2">
        <f>'پمپ آبرسانی عمومی'!D36</f>
        <v>0</v>
      </c>
      <c r="D26" s="2">
        <f t="array" ref="D26">IF(OR(B26=0,C26=0),0,(INDEX($C$4:$J$14,(LOOKUP(B26,$B$4:$B$14,$A$4:$A$14)),(LOOKUP(C26,$C$3:$J$3,$C$2:$J$2)))))</f>
        <v>0</v>
      </c>
    </row>
    <row r="27" spans="2:4" x14ac:dyDescent="0.45">
      <c r="B27" s="3">
        <f>'پمپ آبرسانی عمومی'!B37</f>
        <v>0</v>
      </c>
      <c r="C27" s="2">
        <f>'پمپ آبرسانی عمومی'!D37</f>
        <v>0</v>
      </c>
      <c r="D27" s="2">
        <f t="array" ref="D27">IF(OR(B27=0,C27=0),0,(INDEX($C$4:$J$14,(LOOKUP(B27,$B$4:$B$14,$A$4:$A$14)),(LOOKUP(C27,$C$3:$J$3,$C$2:$J$2)))))</f>
        <v>0</v>
      </c>
    </row>
    <row r="28" spans="2:4" x14ac:dyDescent="0.45">
      <c r="B28" s="3">
        <f>'پمپ آبرسانی عمومی'!B38</f>
        <v>0</v>
      </c>
      <c r="C28" s="2">
        <f>'پمپ آبرسانی عمومی'!D38</f>
        <v>0</v>
      </c>
      <c r="D28" s="2">
        <f t="array" ref="D28">IF(OR(B28=0,C28=0),0,(INDEX($C$4:$J$14,(LOOKUP(B28,$B$4:$B$14,$A$4:$A$14)),(LOOKUP(C28,$C$3:$J$3,$C$2:$J$2)))))</f>
        <v>0</v>
      </c>
    </row>
    <row r="29" spans="2:4" x14ac:dyDescent="0.45">
      <c r="B29" s="3">
        <f>'پمپ آبرسانی عمومی'!B39</f>
        <v>0</v>
      </c>
      <c r="C29" s="2">
        <f>'پمپ آبرسانی عمومی'!D39</f>
        <v>0</v>
      </c>
      <c r="D29" s="2">
        <f t="array" ref="D29">IF(OR(B29=0,C29=0),0,(INDEX($C$4:$J$14,(LOOKUP(B29,$B$4:$B$14,$A$4:$A$14)),(LOOKUP(C29,$C$3:$J$3,$C$2:$J$2)))))</f>
        <v>0</v>
      </c>
    </row>
    <row r="30" spans="2:4" x14ac:dyDescent="0.45">
      <c r="B30" s="3">
        <f>'پمپ آبرسانی عمومی'!B40</f>
        <v>0</v>
      </c>
      <c r="C30" s="2">
        <f>'پمپ آبرسانی عمومی'!D40</f>
        <v>0</v>
      </c>
      <c r="D30" s="2">
        <f t="array" ref="D30">IF(OR(B30=0,C30=0),0,(INDEX($C$4:$J$14,(LOOKUP(B30,$B$4:$B$14,$A$4:$A$14)),(LOOKUP(C30,$C$3:$J$3,$C$2:$J$2)))))</f>
        <v>0</v>
      </c>
    </row>
    <row r="31" spans="2:4" x14ac:dyDescent="0.45">
      <c r="B31" s="3"/>
    </row>
    <row r="32" spans="2:4" x14ac:dyDescent="0.25">
      <c r="B32" s="2" t="s">
        <v>269</v>
      </c>
      <c r="C32" s="2">
        <f>'پمپ آبرسانی خصوصی '!D43</f>
        <v>0</v>
      </c>
      <c r="D32" s="2">
        <f>IF(C32=0,1,LOOKUP(C32,C3:N3,C15:N15))</f>
        <v>1</v>
      </c>
    </row>
    <row r="33" spans="2:6" x14ac:dyDescent="0.25">
      <c r="C33" s="2" t="s">
        <v>276</v>
      </c>
      <c r="D33" s="2" t="s">
        <v>21</v>
      </c>
      <c r="E33" s="2" t="s">
        <v>22</v>
      </c>
      <c r="F33" s="2" t="s">
        <v>275</v>
      </c>
    </row>
    <row r="34" spans="2:6" x14ac:dyDescent="0.25">
      <c r="C34" s="38">
        <v>0.625</v>
      </c>
      <c r="D34" s="38">
        <v>0.75</v>
      </c>
      <c r="E34" s="38">
        <v>1</v>
      </c>
      <c r="F34" s="38">
        <v>1.25</v>
      </c>
    </row>
    <row r="35" spans="2:6" x14ac:dyDescent="0.25">
      <c r="B35" s="2" t="s">
        <v>272</v>
      </c>
      <c r="C35" s="2">
        <f>'پمپ آبرسانی عمومی'!D44</f>
        <v>0</v>
      </c>
      <c r="D35" s="2">
        <f>IF(C35=0,1,LOOKUP(C35,C33:F33,C34:F34))</f>
        <v>1</v>
      </c>
    </row>
    <row r="36" spans="2:6" x14ac:dyDescent="0.25">
      <c r="B36" s="2" t="s">
        <v>273</v>
      </c>
      <c r="C36" s="2">
        <f>'پمپ آبرسانی عمومی'!H44</f>
        <v>0</v>
      </c>
    </row>
    <row r="37" spans="2:6" x14ac:dyDescent="0.25">
      <c r="B37" s="2" t="s">
        <v>274</v>
      </c>
      <c r="C37" s="38">
        <f>0.703*4*(C36/(20*D35^1.95))^1.72</f>
        <v>0</v>
      </c>
    </row>
    <row r="38" spans="2:6" x14ac:dyDescent="0.25">
      <c r="B38" s="2" t="s">
        <v>53</v>
      </c>
      <c r="C38" s="2">
        <v>5.5</v>
      </c>
    </row>
    <row r="39" spans="2:6" x14ac:dyDescent="0.25">
      <c r="B39" s="2" t="s">
        <v>56</v>
      </c>
      <c r="C39" s="2">
        <v>2.7</v>
      </c>
    </row>
    <row r="40" spans="2:6" x14ac:dyDescent="0.25">
      <c r="B40" s="2" t="s">
        <v>57</v>
      </c>
      <c r="C40" s="2">
        <v>14</v>
      </c>
    </row>
    <row r="41" spans="2:6" x14ac:dyDescent="0.25">
      <c r="B41" s="2" t="s">
        <v>36</v>
      </c>
      <c r="C41" s="2">
        <v>5.5</v>
      </c>
    </row>
    <row r="42" spans="2:6" x14ac:dyDescent="0.25">
      <c r="B42" s="2" t="s">
        <v>3</v>
      </c>
      <c r="C42" s="2">
        <v>5.5</v>
      </c>
    </row>
    <row r="43" spans="2:6" x14ac:dyDescent="0.25">
      <c r="B43" s="2" t="s">
        <v>59</v>
      </c>
      <c r="C43" s="2">
        <v>5.5</v>
      </c>
    </row>
    <row r="44" spans="2:6" x14ac:dyDescent="0.25">
      <c r="B44" s="2" t="s">
        <v>1</v>
      </c>
      <c r="C44" s="2">
        <v>5.5</v>
      </c>
    </row>
    <row r="45" spans="2:6" x14ac:dyDescent="0.25">
      <c r="B45" s="2" t="s">
        <v>60</v>
      </c>
      <c r="C45" s="2">
        <v>5.5</v>
      </c>
    </row>
    <row r="46" spans="2:6" x14ac:dyDescent="0.25">
      <c r="B46" s="2" t="s">
        <v>58</v>
      </c>
      <c r="C46" s="2">
        <v>5.5</v>
      </c>
    </row>
    <row r="47" spans="2:6" x14ac:dyDescent="0.25">
      <c r="B47" s="2" t="s">
        <v>2</v>
      </c>
      <c r="C47" s="2">
        <v>5.5</v>
      </c>
    </row>
    <row r="48" spans="2:6" x14ac:dyDescent="0.25">
      <c r="B48" s="2" t="s">
        <v>55</v>
      </c>
      <c r="C48" s="2">
        <v>14</v>
      </c>
    </row>
    <row r="49" spans="3:3" x14ac:dyDescent="0.25">
      <c r="C49" s="2" t="s">
        <v>195</v>
      </c>
    </row>
    <row r="50" spans="3:3" x14ac:dyDescent="0.25">
      <c r="C50" s="76">
        <v>0.625</v>
      </c>
    </row>
    <row r="51" spans="3:3" x14ac:dyDescent="0.25">
      <c r="C51" s="76">
        <v>0.75</v>
      </c>
    </row>
    <row r="52" spans="3:3" x14ac:dyDescent="0.25">
      <c r="C52" s="76">
        <v>1</v>
      </c>
    </row>
    <row r="53" spans="3:3" x14ac:dyDescent="0.25">
      <c r="C53" s="76">
        <v>1.5</v>
      </c>
    </row>
    <row r="54" spans="3:3" x14ac:dyDescent="0.25">
      <c r="C54" s="76">
        <v>2</v>
      </c>
    </row>
  </sheetData>
  <sheetProtection algorithmName="SHA-512" hashValue="87UYhMyAMGfLcWvNmPxvD9u+x3zr/kCh11hZr1qn6jHMcYtVZIP5zKGcVg1Z3AU9cetjp2EZq61ccESt/EWOJA==" saltValue="49UFxvx9AG/nVlb8mdp4eg==" spinCount="100000" sheet="1" objects="1" scenario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7"/>
  <sheetViews>
    <sheetView rightToLeft="1" zoomScale="220" zoomScaleNormal="220" workbookViewId="0">
      <selection activeCell="F11" sqref="F11:K11"/>
    </sheetView>
  </sheetViews>
  <sheetFormatPr defaultRowHeight="14.25" x14ac:dyDescent="0.25"/>
  <cols>
    <col min="1" max="1" width="9.140625" style="4"/>
    <col min="2" max="2" width="10.7109375" style="4" bestFit="1" customWidth="1"/>
    <col min="3" max="16384" width="9.140625" style="4"/>
  </cols>
  <sheetData>
    <row r="1" spans="1:8" x14ac:dyDescent="0.25">
      <c r="A1" s="4" t="s">
        <v>4</v>
      </c>
      <c r="B1" s="5">
        <f>'پمپ آبرسانی عمومی'!J17</f>
        <v>0</v>
      </c>
      <c r="C1" s="21" t="e">
        <f>LOOKUP(B1,B6:B57,C6:C57)</f>
        <v>#N/A</v>
      </c>
    </row>
    <row r="2" spans="1:8" x14ac:dyDescent="0.25">
      <c r="A2" s="23" t="e">
        <f>IF((B2-B1)=0,C1,A3)</f>
        <v>#N/A</v>
      </c>
      <c r="B2" s="21" t="e">
        <f>LOOKUP(C2,A6:A57,B6:B57)</f>
        <v>#N/A</v>
      </c>
      <c r="C2" s="21" t="e">
        <f>MATCH(C1,C6:C57)</f>
        <v>#N/A</v>
      </c>
      <c r="F2" s="234" t="s">
        <v>71</v>
      </c>
      <c r="G2" s="234"/>
      <c r="H2" s="24"/>
    </row>
    <row r="3" spans="1:8" x14ac:dyDescent="0.25">
      <c r="A3" s="19" t="e">
        <f>(C3*(B1-B2)/(B3-B1)+C1)/(1+((B1-B2)/(B3-B1)))</f>
        <v>#N/A</v>
      </c>
      <c r="B3" s="21" t="e">
        <f>LOOKUP(C3,C6:C57,B6:B57)</f>
        <v>#N/A</v>
      </c>
      <c r="C3" s="21" t="e">
        <f>LOOKUP(C2+1,A6:A57,C6:C57)</f>
        <v>#N/A</v>
      </c>
      <c r="F3" s="4" t="e">
        <f>B2</f>
        <v>#N/A</v>
      </c>
      <c r="G3" s="4" t="e">
        <f>C1</f>
        <v>#N/A</v>
      </c>
    </row>
    <row r="4" spans="1:8" x14ac:dyDescent="0.25">
      <c r="B4" s="21"/>
      <c r="C4" s="21"/>
      <c r="F4" s="4">
        <f>B1</f>
        <v>0</v>
      </c>
      <c r="G4" s="4" t="e">
        <f>(G5*(F4-F3)/(F5-F4)+G3)/(1+(F4-F3)/(F5-F4))</f>
        <v>#N/A</v>
      </c>
    </row>
    <row r="5" spans="1:8" x14ac:dyDescent="0.25">
      <c r="A5" s="20" t="s">
        <v>68</v>
      </c>
      <c r="B5" s="20" t="s">
        <v>4</v>
      </c>
      <c r="C5" s="20" t="s">
        <v>50</v>
      </c>
      <c r="F5" s="4" t="e">
        <f>B3</f>
        <v>#N/A</v>
      </c>
      <c r="G5" s="4" t="e">
        <f>C3</f>
        <v>#N/A</v>
      </c>
    </row>
    <row r="6" spans="1:8" x14ac:dyDescent="0.25">
      <c r="A6" s="20">
        <v>1</v>
      </c>
      <c r="B6" s="20">
        <v>1</v>
      </c>
      <c r="C6" s="20">
        <v>3</v>
      </c>
    </row>
    <row r="7" spans="1:8" x14ac:dyDescent="0.25">
      <c r="A7" s="20">
        <v>2</v>
      </c>
      <c r="B7" s="20">
        <v>2</v>
      </c>
      <c r="C7" s="20">
        <v>5</v>
      </c>
    </row>
    <row r="8" spans="1:8" x14ac:dyDescent="0.25">
      <c r="A8" s="20">
        <v>3</v>
      </c>
      <c r="B8" s="20">
        <v>3</v>
      </c>
      <c r="C8" s="20">
        <v>6.5</v>
      </c>
    </row>
    <row r="9" spans="1:8" x14ac:dyDescent="0.25">
      <c r="A9" s="20">
        <v>4</v>
      </c>
      <c r="B9" s="20">
        <v>4</v>
      </c>
      <c r="C9" s="20">
        <v>8</v>
      </c>
    </row>
    <row r="10" spans="1:8" x14ac:dyDescent="0.25">
      <c r="A10" s="20">
        <v>5</v>
      </c>
      <c r="B10" s="20">
        <v>5</v>
      </c>
      <c r="C10" s="20">
        <v>9.4</v>
      </c>
    </row>
    <row r="11" spans="1:8" x14ac:dyDescent="0.25">
      <c r="A11" s="20">
        <v>6</v>
      </c>
      <c r="B11" s="20">
        <v>6</v>
      </c>
      <c r="C11" s="20">
        <v>10.7</v>
      </c>
    </row>
    <row r="12" spans="1:8" x14ac:dyDescent="0.25">
      <c r="A12" s="20">
        <v>7</v>
      </c>
      <c r="B12" s="20">
        <v>7</v>
      </c>
      <c r="C12" s="20">
        <v>11.8</v>
      </c>
    </row>
    <row r="13" spans="1:8" x14ac:dyDescent="0.25">
      <c r="A13" s="20">
        <v>8</v>
      </c>
      <c r="B13" s="20">
        <v>8</v>
      </c>
      <c r="C13" s="20">
        <v>12.8</v>
      </c>
    </row>
    <row r="14" spans="1:8" x14ac:dyDescent="0.25">
      <c r="A14" s="20">
        <v>9</v>
      </c>
      <c r="B14" s="20">
        <v>9</v>
      </c>
      <c r="C14" s="20">
        <v>13.7</v>
      </c>
    </row>
    <row r="15" spans="1:8" x14ac:dyDescent="0.25">
      <c r="A15" s="20">
        <v>10</v>
      </c>
      <c r="B15" s="20">
        <v>10</v>
      </c>
      <c r="C15" s="20">
        <v>14.6</v>
      </c>
    </row>
    <row r="16" spans="1:8" x14ac:dyDescent="0.25">
      <c r="A16" s="20">
        <v>11</v>
      </c>
      <c r="B16" s="20">
        <v>11</v>
      </c>
      <c r="C16" s="20">
        <v>15.4</v>
      </c>
    </row>
    <row r="17" spans="1:3" x14ac:dyDescent="0.25">
      <c r="A17" s="20">
        <v>12</v>
      </c>
      <c r="B17" s="20">
        <v>12</v>
      </c>
      <c r="C17" s="20">
        <v>16</v>
      </c>
    </row>
    <row r="18" spans="1:3" x14ac:dyDescent="0.25">
      <c r="A18" s="20">
        <v>13</v>
      </c>
      <c r="B18" s="20">
        <v>13</v>
      </c>
      <c r="C18" s="20">
        <v>16.5</v>
      </c>
    </row>
    <row r="19" spans="1:3" x14ac:dyDescent="0.25">
      <c r="A19" s="20">
        <v>14</v>
      </c>
      <c r="B19" s="20">
        <v>14</v>
      </c>
      <c r="C19" s="20">
        <v>17</v>
      </c>
    </row>
    <row r="20" spans="1:3" x14ac:dyDescent="0.25">
      <c r="A20" s="20">
        <v>15</v>
      </c>
      <c r="B20" s="20">
        <v>15</v>
      </c>
      <c r="C20" s="20">
        <v>17.5</v>
      </c>
    </row>
    <row r="21" spans="1:3" x14ac:dyDescent="0.25">
      <c r="A21" s="20">
        <v>16</v>
      </c>
      <c r="B21" s="20">
        <v>16</v>
      </c>
      <c r="C21" s="20">
        <v>18</v>
      </c>
    </row>
    <row r="22" spans="1:3" x14ac:dyDescent="0.25">
      <c r="A22" s="20">
        <v>17</v>
      </c>
      <c r="B22" s="20">
        <v>17</v>
      </c>
      <c r="C22" s="20">
        <v>18.399999999999999</v>
      </c>
    </row>
    <row r="23" spans="1:3" x14ac:dyDescent="0.25">
      <c r="A23" s="20">
        <v>18</v>
      </c>
      <c r="B23" s="20">
        <v>18</v>
      </c>
      <c r="C23" s="20">
        <v>18.8</v>
      </c>
    </row>
    <row r="24" spans="1:3" x14ac:dyDescent="0.25">
      <c r="A24" s="20">
        <v>19</v>
      </c>
      <c r="B24" s="20">
        <v>19</v>
      </c>
      <c r="C24" s="20">
        <v>19.2</v>
      </c>
    </row>
    <row r="25" spans="1:3" x14ac:dyDescent="0.25">
      <c r="A25" s="20">
        <v>20</v>
      </c>
      <c r="B25" s="20">
        <v>20</v>
      </c>
      <c r="C25" s="20">
        <v>19.600000000000001</v>
      </c>
    </row>
    <row r="26" spans="1:3" x14ac:dyDescent="0.25">
      <c r="A26" s="20">
        <v>21</v>
      </c>
      <c r="B26" s="20">
        <v>25</v>
      </c>
      <c r="C26" s="20">
        <v>21.5</v>
      </c>
    </row>
    <row r="27" spans="1:3" x14ac:dyDescent="0.25">
      <c r="A27" s="20">
        <v>22</v>
      </c>
      <c r="B27" s="20">
        <v>30</v>
      </c>
      <c r="C27" s="20">
        <v>23.3</v>
      </c>
    </row>
    <row r="28" spans="1:3" x14ac:dyDescent="0.25">
      <c r="A28" s="20">
        <v>23</v>
      </c>
      <c r="B28" s="20">
        <v>35</v>
      </c>
      <c r="C28" s="20">
        <v>24.9</v>
      </c>
    </row>
    <row r="29" spans="1:3" x14ac:dyDescent="0.25">
      <c r="A29" s="20">
        <v>24</v>
      </c>
      <c r="B29" s="20">
        <v>40</v>
      </c>
      <c r="C29" s="20">
        <v>26.3</v>
      </c>
    </row>
    <row r="30" spans="1:3" x14ac:dyDescent="0.25">
      <c r="A30" s="20">
        <v>25</v>
      </c>
      <c r="B30" s="20">
        <v>45</v>
      </c>
      <c r="C30" s="20">
        <v>27.7</v>
      </c>
    </row>
    <row r="31" spans="1:3" x14ac:dyDescent="0.25">
      <c r="A31" s="20">
        <v>26</v>
      </c>
      <c r="B31" s="20">
        <v>50</v>
      </c>
      <c r="C31" s="20">
        <v>29.1</v>
      </c>
    </row>
    <row r="32" spans="1:3" x14ac:dyDescent="0.25">
      <c r="A32" s="20">
        <v>27</v>
      </c>
      <c r="B32" s="20">
        <v>60</v>
      </c>
      <c r="C32" s="20">
        <v>32</v>
      </c>
    </row>
    <row r="33" spans="1:3" x14ac:dyDescent="0.25">
      <c r="A33" s="20">
        <v>28</v>
      </c>
      <c r="B33" s="20">
        <v>70</v>
      </c>
      <c r="C33" s="20">
        <v>35</v>
      </c>
    </row>
    <row r="34" spans="1:3" x14ac:dyDescent="0.25">
      <c r="A34" s="20">
        <v>29</v>
      </c>
      <c r="B34" s="20">
        <v>80</v>
      </c>
      <c r="C34" s="20">
        <v>38</v>
      </c>
    </row>
    <row r="35" spans="1:3" x14ac:dyDescent="0.25">
      <c r="A35" s="20">
        <v>30</v>
      </c>
      <c r="B35" s="20">
        <v>90</v>
      </c>
      <c r="C35" s="20">
        <v>41</v>
      </c>
    </row>
    <row r="36" spans="1:3" x14ac:dyDescent="0.25">
      <c r="A36" s="20">
        <v>31</v>
      </c>
      <c r="B36" s="20">
        <v>100</v>
      </c>
      <c r="C36" s="20">
        <v>43.5</v>
      </c>
    </row>
    <row r="37" spans="1:3" x14ac:dyDescent="0.25">
      <c r="A37" s="20">
        <v>32</v>
      </c>
      <c r="B37" s="20">
        <v>120</v>
      </c>
      <c r="C37" s="20">
        <v>48</v>
      </c>
    </row>
    <row r="38" spans="1:3" x14ac:dyDescent="0.25">
      <c r="A38" s="20">
        <v>33</v>
      </c>
      <c r="B38" s="20">
        <v>140</v>
      </c>
      <c r="C38" s="20">
        <v>52.5</v>
      </c>
    </row>
    <row r="39" spans="1:3" x14ac:dyDescent="0.25">
      <c r="A39" s="20">
        <v>34</v>
      </c>
      <c r="B39" s="20">
        <v>160</v>
      </c>
      <c r="C39" s="20">
        <v>57</v>
      </c>
    </row>
    <row r="40" spans="1:3" x14ac:dyDescent="0.25">
      <c r="A40" s="20">
        <v>35</v>
      </c>
      <c r="B40" s="20">
        <v>180</v>
      </c>
      <c r="C40" s="20">
        <v>61</v>
      </c>
    </row>
    <row r="41" spans="1:3" x14ac:dyDescent="0.25">
      <c r="A41" s="20">
        <v>36</v>
      </c>
      <c r="B41" s="20">
        <v>200</v>
      </c>
      <c r="C41" s="20">
        <v>65</v>
      </c>
    </row>
    <row r="42" spans="1:3" x14ac:dyDescent="0.25">
      <c r="A42" s="20">
        <v>37</v>
      </c>
      <c r="B42" s="20">
        <v>225</v>
      </c>
      <c r="C42" s="20">
        <v>70</v>
      </c>
    </row>
    <row r="43" spans="1:3" x14ac:dyDescent="0.25">
      <c r="A43" s="20">
        <v>38</v>
      </c>
      <c r="B43" s="20">
        <v>250</v>
      </c>
      <c r="C43" s="20">
        <v>75</v>
      </c>
    </row>
    <row r="44" spans="1:3" x14ac:dyDescent="0.25">
      <c r="A44" s="20">
        <v>39</v>
      </c>
      <c r="B44" s="20">
        <v>275</v>
      </c>
      <c r="C44" s="20">
        <v>80</v>
      </c>
    </row>
    <row r="45" spans="1:3" x14ac:dyDescent="0.25">
      <c r="A45" s="20">
        <v>40</v>
      </c>
      <c r="B45" s="20">
        <v>300</v>
      </c>
      <c r="C45" s="20">
        <v>85</v>
      </c>
    </row>
    <row r="46" spans="1:3" x14ac:dyDescent="0.25">
      <c r="A46" s="20">
        <v>41</v>
      </c>
      <c r="B46" s="20">
        <v>400</v>
      </c>
      <c r="C46" s="20">
        <v>105</v>
      </c>
    </row>
    <row r="47" spans="1:3" x14ac:dyDescent="0.25">
      <c r="A47" s="20">
        <v>42</v>
      </c>
      <c r="B47" s="20">
        <v>500</v>
      </c>
      <c r="C47" s="20">
        <v>124</v>
      </c>
    </row>
    <row r="48" spans="1:3" x14ac:dyDescent="0.25">
      <c r="A48" s="20">
        <v>43</v>
      </c>
      <c r="B48" s="20">
        <v>750</v>
      </c>
      <c r="C48" s="20">
        <v>170</v>
      </c>
    </row>
    <row r="49" spans="1:3" x14ac:dyDescent="0.25">
      <c r="A49" s="20">
        <v>44</v>
      </c>
      <c r="B49" s="20">
        <v>1000</v>
      </c>
      <c r="C49" s="20">
        <v>208</v>
      </c>
    </row>
    <row r="50" spans="1:3" x14ac:dyDescent="0.25">
      <c r="A50" s="20">
        <v>45</v>
      </c>
      <c r="B50" s="20">
        <v>1250</v>
      </c>
      <c r="C50" s="20">
        <v>239</v>
      </c>
    </row>
    <row r="51" spans="1:3" x14ac:dyDescent="0.25">
      <c r="A51" s="20">
        <v>46</v>
      </c>
      <c r="B51" s="20">
        <v>1500</v>
      </c>
      <c r="C51" s="20">
        <v>269</v>
      </c>
    </row>
    <row r="52" spans="1:3" x14ac:dyDescent="0.25">
      <c r="A52" s="20">
        <v>47</v>
      </c>
      <c r="B52" s="20">
        <v>1750</v>
      </c>
      <c r="C52" s="20">
        <v>297</v>
      </c>
    </row>
    <row r="53" spans="1:3" x14ac:dyDescent="0.25">
      <c r="A53" s="20">
        <v>48</v>
      </c>
      <c r="B53" s="20">
        <v>2000</v>
      </c>
      <c r="C53" s="20">
        <v>325</v>
      </c>
    </row>
    <row r="54" spans="1:3" x14ac:dyDescent="0.25">
      <c r="A54" s="20">
        <v>49</v>
      </c>
      <c r="B54" s="20">
        <v>2500</v>
      </c>
      <c r="C54" s="20">
        <v>380</v>
      </c>
    </row>
    <row r="55" spans="1:3" x14ac:dyDescent="0.25">
      <c r="A55" s="20">
        <v>50</v>
      </c>
      <c r="B55" s="20">
        <v>3000</v>
      </c>
      <c r="C55" s="20">
        <v>433</v>
      </c>
    </row>
    <row r="56" spans="1:3" x14ac:dyDescent="0.25">
      <c r="A56" s="20">
        <v>51</v>
      </c>
      <c r="B56" s="20">
        <v>4000</v>
      </c>
      <c r="C56" s="20">
        <v>252</v>
      </c>
    </row>
    <row r="57" spans="1:3" x14ac:dyDescent="0.25">
      <c r="A57" s="20">
        <v>52</v>
      </c>
      <c r="B57" s="20">
        <v>5000</v>
      </c>
      <c r="C57" s="20">
        <v>593</v>
      </c>
    </row>
  </sheetData>
  <sheetProtection algorithmName="SHA-512" hashValue="Lh0vSdPDoUNTFjxGKWselQLhwveoV64ezPwyLtUIg7Cl9kvlmIndl8N+eYstD4a9QA0fSzuDdAf+YVZCAhv/Mg==" saltValue="3JiXhLMB38bHMHzC74vgQQ==" spinCount="100000" sheet="1" objects="1" scenarios="1"/>
  <mergeCells count="1">
    <mergeCell ref="F2:G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FF0000"/>
  </sheetPr>
  <dimension ref="A1:R46"/>
  <sheetViews>
    <sheetView rightToLeft="1" topLeftCell="A10" zoomScale="140" zoomScaleNormal="140" workbookViewId="0">
      <selection activeCell="F12" sqref="F12:K12"/>
    </sheetView>
  </sheetViews>
  <sheetFormatPr defaultColWidth="9" defaultRowHeight="18" x14ac:dyDescent="0.25"/>
  <cols>
    <col min="1" max="1" width="2.7109375" style="2" customWidth="1"/>
    <col min="2" max="2" width="5.7109375" style="2" customWidth="1"/>
    <col min="3" max="3" width="35.7109375" style="2" customWidth="1"/>
    <col min="4" max="11" width="5.7109375" style="2" customWidth="1"/>
    <col min="12" max="12" width="2.7109375" style="2" customWidth="1"/>
    <col min="13" max="18" width="4.7109375" style="2" customWidth="1"/>
    <col min="19" max="16384" width="9" style="2"/>
  </cols>
  <sheetData>
    <row r="1" spans="1:18" x14ac:dyDescent="0.25">
      <c r="A1" s="148" t="s">
        <v>64</v>
      </c>
      <c r="B1" s="148"/>
      <c r="C1" s="148"/>
      <c r="D1" s="148"/>
      <c r="E1" s="148"/>
      <c r="F1" s="148"/>
      <c r="G1" s="148"/>
      <c r="H1" s="148"/>
      <c r="I1" s="148"/>
      <c r="J1" s="148"/>
      <c r="K1" s="148"/>
      <c r="L1" s="148"/>
    </row>
    <row r="2" spans="1:18" ht="15" customHeight="1" thickBot="1" x14ac:dyDescent="0.3">
      <c r="A2" s="9"/>
      <c r="B2" s="9"/>
      <c r="C2" s="9"/>
      <c r="D2" s="9"/>
      <c r="E2" s="9"/>
      <c r="F2" s="9"/>
      <c r="G2" s="9"/>
      <c r="H2" s="9"/>
      <c r="I2" s="9"/>
      <c r="J2" s="9"/>
      <c r="K2" s="9"/>
      <c r="L2" s="9"/>
    </row>
    <row r="3" spans="1:18" ht="20.100000000000001" customHeight="1" thickBot="1" x14ac:dyDescent="0.3">
      <c r="A3" s="9"/>
      <c r="B3" s="153" t="s">
        <v>73</v>
      </c>
      <c r="C3" s="154"/>
      <c r="D3" s="154"/>
      <c r="E3" s="154"/>
      <c r="F3" s="154"/>
      <c r="G3" s="154"/>
      <c r="H3" s="155"/>
      <c r="I3" s="78"/>
      <c r="J3" s="156"/>
      <c r="K3" s="157"/>
      <c r="L3" s="9"/>
    </row>
    <row r="4" spans="1:18" ht="15" customHeight="1" thickBot="1" x14ac:dyDescent="0.3">
      <c r="A4" s="9"/>
      <c r="B4" s="11"/>
      <c r="C4" s="11"/>
      <c r="D4" s="11"/>
      <c r="E4" s="11"/>
      <c r="F4" s="11"/>
      <c r="G4" s="11"/>
      <c r="H4" s="11"/>
      <c r="I4" s="11"/>
      <c r="J4" s="158"/>
      <c r="K4" s="159"/>
      <c r="L4" s="9"/>
    </row>
    <row r="5" spans="1:18" ht="18" customHeight="1" thickBot="1" x14ac:dyDescent="0.3">
      <c r="A5" s="9"/>
      <c r="B5" s="74" t="s">
        <v>65</v>
      </c>
      <c r="C5" s="79" t="str">
        <f>کاور!C43</f>
        <v>پروژه نمونه</v>
      </c>
      <c r="D5" s="75" t="s">
        <v>49</v>
      </c>
      <c r="E5" s="162">
        <f>کاور!G43</f>
        <v>46199</v>
      </c>
      <c r="F5" s="162"/>
      <c r="G5" s="162"/>
      <c r="H5" s="163"/>
      <c r="I5" s="80"/>
      <c r="J5" s="160"/>
      <c r="K5" s="161"/>
      <c r="L5" s="10"/>
      <c r="M5" s="1"/>
      <c r="N5" s="1"/>
      <c r="O5" s="1"/>
      <c r="P5" s="1"/>
      <c r="Q5" s="1"/>
      <c r="R5" s="1"/>
    </row>
    <row r="6" spans="1:18" ht="15" customHeight="1" thickBot="1" x14ac:dyDescent="0.3">
      <c r="A6" s="9"/>
      <c r="B6" s="9"/>
      <c r="C6" s="9"/>
      <c r="D6" s="9"/>
      <c r="E6" s="9"/>
      <c r="F6" s="9"/>
      <c r="G6" s="9"/>
      <c r="H6" s="9"/>
      <c r="I6" s="9"/>
      <c r="J6" s="9"/>
      <c r="K6" s="9"/>
      <c r="L6" s="9"/>
    </row>
    <row r="7" spans="1:18" ht="18" customHeight="1" x14ac:dyDescent="0.25">
      <c r="A7" s="9"/>
      <c r="B7" s="149" t="s">
        <v>95</v>
      </c>
      <c r="C7" s="150"/>
      <c r="D7" s="150"/>
      <c r="E7" s="150"/>
      <c r="F7" s="150"/>
      <c r="G7" s="150"/>
      <c r="H7" s="150"/>
      <c r="I7" s="150"/>
      <c r="J7" s="150"/>
      <c r="K7" s="151"/>
      <c r="L7" s="9"/>
    </row>
    <row r="8" spans="1:18" ht="18" customHeight="1" x14ac:dyDescent="0.25">
      <c r="A8" s="9"/>
      <c r="B8" s="146" t="s">
        <v>106</v>
      </c>
      <c r="C8" s="135"/>
      <c r="D8" s="31" t="s">
        <v>123</v>
      </c>
      <c r="E8" s="152"/>
      <c r="F8" s="152"/>
      <c r="G8" s="152"/>
      <c r="H8" s="135" t="s">
        <v>75</v>
      </c>
      <c r="I8" s="135"/>
      <c r="J8" s="36"/>
      <c r="K8" s="122" t="s">
        <v>97</v>
      </c>
      <c r="L8" s="9"/>
    </row>
    <row r="9" spans="1:18" ht="18" customHeight="1" x14ac:dyDescent="0.25">
      <c r="A9" s="9"/>
      <c r="B9" s="146" t="s">
        <v>83</v>
      </c>
      <c r="C9" s="135"/>
      <c r="D9" s="134"/>
      <c r="E9" s="30" t="s">
        <v>105</v>
      </c>
      <c r="F9" s="36"/>
      <c r="G9" s="30" t="s">
        <v>81</v>
      </c>
      <c r="H9" s="147" t="s">
        <v>84</v>
      </c>
      <c r="I9" s="147"/>
      <c r="J9" s="144"/>
      <c r="K9" s="145"/>
      <c r="L9" s="9"/>
    </row>
    <row r="10" spans="1:18" ht="18" customHeight="1" x14ac:dyDescent="0.25">
      <c r="A10" s="9"/>
      <c r="B10" s="146" t="s">
        <v>255</v>
      </c>
      <c r="C10" s="135"/>
      <c r="D10" s="135"/>
      <c r="E10" s="135"/>
      <c r="F10" s="135"/>
      <c r="G10" s="135"/>
      <c r="H10" s="144"/>
      <c r="I10" s="144"/>
      <c r="J10" s="144"/>
      <c r="K10" s="145"/>
      <c r="L10" s="9"/>
    </row>
    <row r="11" spans="1:18" ht="18" customHeight="1" x14ac:dyDescent="0.25">
      <c r="A11" s="9"/>
      <c r="B11" s="137" t="s">
        <v>99</v>
      </c>
      <c r="C11" s="138"/>
      <c r="D11" s="138"/>
      <c r="E11" s="138"/>
      <c r="F11" s="135" t="str">
        <f>'محاسبه دبی آتشنشانی'!A3</f>
        <v>اطلاعات پروژه را وارد کنید</v>
      </c>
      <c r="G11" s="135"/>
      <c r="H11" s="135"/>
      <c r="I11" s="135"/>
      <c r="J11" s="135"/>
      <c r="K11" s="136"/>
      <c r="L11" s="9"/>
    </row>
    <row r="12" spans="1:18" ht="18" customHeight="1" x14ac:dyDescent="0.25">
      <c r="A12" s="9"/>
      <c r="B12" s="137" t="s">
        <v>100</v>
      </c>
      <c r="C12" s="138"/>
      <c r="D12" s="138"/>
      <c r="E12" s="138"/>
      <c r="F12" s="135" t="str">
        <f>'محاسبه دبی آتشنشانی'!A4</f>
        <v>اطلاعات پروژه را وارد کنید</v>
      </c>
      <c r="G12" s="135"/>
      <c r="H12" s="135"/>
      <c r="I12" s="135"/>
      <c r="J12" s="135"/>
      <c r="K12" s="136"/>
      <c r="L12" s="9"/>
    </row>
    <row r="13" spans="1:18" ht="18" customHeight="1" x14ac:dyDescent="0.25">
      <c r="A13" s="9"/>
      <c r="B13" s="139" t="s">
        <v>298</v>
      </c>
      <c r="C13" s="140"/>
      <c r="D13" s="135" t="s">
        <v>101</v>
      </c>
      <c r="E13" s="135"/>
      <c r="F13" s="135"/>
      <c r="G13" s="135"/>
      <c r="H13" s="135"/>
      <c r="I13" s="31" t="s">
        <v>0</v>
      </c>
      <c r="J13" s="135">
        <f>'محاسبه دبی آتشنشانی'!F3</f>
        <v>0</v>
      </c>
      <c r="K13" s="136"/>
      <c r="L13" s="9"/>
    </row>
    <row r="14" spans="1:18" ht="18" customHeight="1" x14ac:dyDescent="0.25">
      <c r="A14" s="9"/>
      <c r="B14" s="141"/>
      <c r="C14" s="142"/>
      <c r="D14" s="143" t="s">
        <v>299</v>
      </c>
      <c r="E14" s="135"/>
      <c r="F14" s="135"/>
      <c r="G14" s="135"/>
      <c r="H14" s="36"/>
      <c r="I14" s="31" t="s">
        <v>0</v>
      </c>
      <c r="J14" s="135">
        <f>IF(J13=10,30,H14*J13)</f>
        <v>0</v>
      </c>
      <c r="K14" s="136"/>
      <c r="L14" s="9"/>
    </row>
    <row r="15" spans="1:18" ht="18" customHeight="1" x14ac:dyDescent="0.25">
      <c r="A15" s="9"/>
      <c r="B15" s="137" t="s">
        <v>294</v>
      </c>
      <c r="C15" s="138"/>
      <c r="D15" s="138"/>
      <c r="E15" s="138"/>
      <c r="F15" s="135" t="s">
        <v>293</v>
      </c>
      <c r="G15" s="135"/>
      <c r="H15" s="117"/>
      <c r="I15" s="31" t="s">
        <v>0</v>
      </c>
      <c r="J15" s="135">
        <f>IF(H15&gt;11,'محاسبه دبی آتشنشانی'!F4,20*H15)</f>
        <v>0</v>
      </c>
      <c r="K15" s="136"/>
      <c r="L15" s="9"/>
    </row>
    <row r="16" spans="1:18" ht="20.100000000000001" customHeight="1" thickBot="1" x14ac:dyDescent="0.3">
      <c r="A16" s="9"/>
      <c r="B16" s="170" t="s">
        <v>98</v>
      </c>
      <c r="C16" s="171"/>
      <c r="D16" s="27" t="s">
        <v>51</v>
      </c>
      <c r="E16" s="29">
        <f>J16*3.78</f>
        <v>0</v>
      </c>
      <c r="F16" s="172" t="s">
        <v>197</v>
      </c>
      <c r="G16" s="173"/>
      <c r="H16" s="29">
        <f>J16*0.227</f>
        <v>0</v>
      </c>
      <c r="I16" s="111" t="s">
        <v>0</v>
      </c>
      <c r="J16" s="164">
        <f>IF(AND(J14=0,J15=0),0,IF(J14&gt;J15,J14,J15))</f>
        <v>0</v>
      </c>
      <c r="K16" s="165"/>
      <c r="L16" s="9"/>
    </row>
    <row r="17" spans="1:12" ht="15" customHeight="1" thickBot="1" x14ac:dyDescent="0.3">
      <c r="A17" s="9"/>
      <c r="B17" s="9"/>
      <c r="C17" s="166"/>
      <c r="D17" s="166"/>
      <c r="E17" s="166"/>
      <c r="F17" s="166"/>
      <c r="G17" s="166"/>
      <c r="H17" s="166"/>
      <c r="I17" s="9"/>
      <c r="J17" s="166"/>
      <c r="K17" s="166"/>
      <c r="L17" s="9"/>
    </row>
    <row r="18" spans="1:12" ht="18" customHeight="1" x14ac:dyDescent="0.25">
      <c r="A18" s="9"/>
      <c r="B18" s="149" t="s">
        <v>178</v>
      </c>
      <c r="C18" s="150"/>
      <c r="D18" s="150"/>
      <c r="E18" s="150"/>
      <c r="F18" s="150"/>
      <c r="G18" s="150"/>
      <c r="H18" s="150"/>
      <c r="I18" s="150"/>
      <c r="J18" s="150"/>
      <c r="K18" s="151"/>
      <c r="L18" s="9"/>
    </row>
    <row r="19" spans="1:12" ht="18" customHeight="1" x14ac:dyDescent="0.25">
      <c r="A19" s="9"/>
      <c r="B19" s="167" t="s">
        <v>103</v>
      </c>
      <c r="C19" s="168"/>
      <c r="D19" s="168"/>
      <c r="E19" s="168"/>
      <c r="F19" s="168"/>
      <c r="G19" s="168"/>
      <c r="H19" s="168"/>
      <c r="I19" s="7" t="s">
        <v>10</v>
      </c>
      <c r="J19" s="12" t="s">
        <v>5</v>
      </c>
      <c r="K19" s="18"/>
      <c r="L19" s="9"/>
    </row>
    <row r="20" spans="1:12" ht="18" customHeight="1" x14ac:dyDescent="0.25">
      <c r="A20" s="9"/>
      <c r="B20" s="167" t="s">
        <v>104</v>
      </c>
      <c r="C20" s="168"/>
      <c r="D20" s="168"/>
      <c r="E20" s="168"/>
      <c r="F20" s="168"/>
      <c r="G20" s="168"/>
      <c r="H20" s="168"/>
      <c r="I20" s="7" t="s">
        <v>10</v>
      </c>
      <c r="J20" s="12" t="s">
        <v>5</v>
      </c>
      <c r="K20" s="18"/>
      <c r="L20" s="9"/>
    </row>
    <row r="21" spans="1:12" ht="18" customHeight="1" x14ac:dyDescent="0.25">
      <c r="A21" s="9"/>
      <c r="B21" s="167" t="s">
        <v>102</v>
      </c>
      <c r="C21" s="168"/>
      <c r="D21" s="168"/>
      <c r="E21" s="168"/>
      <c r="F21" s="168"/>
      <c r="G21" s="168"/>
      <c r="H21" s="168"/>
      <c r="I21" s="7" t="s">
        <v>10</v>
      </c>
      <c r="J21" s="12" t="s">
        <v>5</v>
      </c>
      <c r="K21" s="18"/>
      <c r="L21" s="9"/>
    </row>
    <row r="22" spans="1:12" ht="18" customHeight="1" x14ac:dyDescent="0.25">
      <c r="A22" s="9"/>
      <c r="B22" s="167" t="s">
        <v>31</v>
      </c>
      <c r="C22" s="168"/>
      <c r="D22" s="168"/>
      <c r="E22" s="168"/>
      <c r="F22" s="168"/>
      <c r="G22" s="168"/>
      <c r="H22" s="168"/>
      <c r="I22" s="7" t="s">
        <v>10</v>
      </c>
      <c r="J22" s="13" t="s">
        <v>5</v>
      </c>
      <c r="K22" s="14">
        <f>SUM(K19:K21)</f>
        <v>0</v>
      </c>
      <c r="L22" s="9"/>
    </row>
    <row r="23" spans="1:12" ht="18" customHeight="1" x14ac:dyDescent="0.25">
      <c r="A23" s="9"/>
      <c r="B23" s="137" t="s">
        <v>182</v>
      </c>
      <c r="C23" s="138"/>
      <c r="D23" s="174" t="s">
        <v>187</v>
      </c>
      <c r="E23" s="144"/>
      <c r="F23" s="144"/>
      <c r="G23" s="144"/>
      <c r="H23" s="175"/>
      <c r="I23" s="7" t="s">
        <v>10</v>
      </c>
      <c r="J23" s="13" t="s">
        <v>5</v>
      </c>
      <c r="K23" s="14">
        <f>IF(D23=آتشنشانی!P1,0.5*K22,0)</f>
        <v>0</v>
      </c>
      <c r="L23" s="9"/>
    </row>
    <row r="24" spans="1:12" ht="18" customHeight="1" x14ac:dyDescent="0.25">
      <c r="A24" s="9"/>
      <c r="B24" s="167" t="s">
        <v>28</v>
      </c>
      <c r="C24" s="168"/>
      <c r="D24" s="169" t="s">
        <v>72</v>
      </c>
      <c r="E24" s="169"/>
      <c r="F24" s="8" t="s">
        <v>7</v>
      </c>
      <c r="G24" s="169" t="s">
        <v>9</v>
      </c>
      <c r="H24" s="169"/>
      <c r="I24" s="8"/>
      <c r="J24" s="13"/>
      <c r="K24" s="14"/>
      <c r="L24" s="9"/>
    </row>
    <row r="25" spans="1:12" ht="18" customHeight="1" x14ac:dyDescent="0.25">
      <c r="A25" s="9"/>
      <c r="B25" s="176"/>
      <c r="C25" s="177"/>
      <c r="D25" s="177"/>
      <c r="E25" s="177"/>
      <c r="F25" s="17"/>
      <c r="G25" s="13" t="s">
        <v>5</v>
      </c>
      <c r="H25" s="16">
        <f>آتشنشانی!D17</f>
        <v>0</v>
      </c>
      <c r="I25" s="7" t="s">
        <v>10</v>
      </c>
      <c r="J25" s="13" t="s">
        <v>5</v>
      </c>
      <c r="K25" s="14">
        <f>H25*F25</f>
        <v>0</v>
      </c>
      <c r="L25" s="9"/>
    </row>
    <row r="26" spans="1:12" ht="18" customHeight="1" x14ac:dyDescent="0.25">
      <c r="A26" s="9"/>
      <c r="B26" s="176"/>
      <c r="C26" s="177"/>
      <c r="D26" s="174"/>
      <c r="E26" s="175"/>
      <c r="F26" s="17"/>
      <c r="G26" s="13" t="s">
        <v>5</v>
      </c>
      <c r="H26" s="16">
        <f>آتشنشانی!D18</f>
        <v>0</v>
      </c>
      <c r="I26" s="7" t="s">
        <v>10</v>
      </c>
      <c r="J26" s="13" t="s">
        <v>5</v>
      </c>
      <c r="K26" s="14">
        <f t="shared" ref="K26:K39" si="0">H26*F26</f>
        <v>0</v>
      </c>
      <c r="L26" s="9"/>
    </row>
    <row r="27" spans="1:12" ht="18" customHeight="1" x14ac:dyDescent="0.25">
      <c r="A27" s="9"/>
      <c r="B27" s="176"/>
      <c r="C27" s="177"/>
      <c r="D27" s="174"/>
      <c r="E27" s="175"/>
      <c r="F27" s="17"/>
      <c r="G27" s="13" t="s">
        <v>5</v>
      </c>
      <c r="H27" s="16">
        <f>آتشنشانی!D19</f>
        <v>0</v>
      </c>
      <c r="I27" s="7" t="s">
        <v>10</v>
      </c>
      <c r="J27" s="13" t="s">
        <v>5</v>
      </c>
      <c r="K27" s="14">
        <f t="shared" si="0"/>
        <v>0</v>
      </c>
      <c r="L27" s="9"/>
    </row>
    <row r="28" spans="1:12" ht="18" customHeight="1" x14ac:dyDescent="0.25">
      <c r="A28" s="9"/>
      <c r="B28" s="176"/>
      <c r="C28" s="177"/>
      <c r="D28" s="174"/>
      <c r="E28" s="175"/>
      <c r="F28" s="17"/>
      <c r="G28" s="13" t="s">
        <v>5</v>
      </c>
      <c r="H28" s="16">
        <f>آتشنشانی!D20</f>
        <v>0</v>
      </c>
      <c r="I28" s="7" t="s">
        <v>10</v>
      </c>
      <c r="J28" s="13" t="s">
        <v>5</v>
      </c>
      <c r="K28" s="14">
        <f t="shared" si="0"/>
        <v>0</v>
      </c>
      <c r="L28" s="9"/>
    </row>
    <row r="29" spans="1:12" ht="18" customHeight="1" x14ac:dyDescent="0.25">
      <c r="A29" s="9"/>
      <c r="B29" s="176"/>
      <c r="C29" s="177"/>
      <c r="D29" s="174"/>
      <c r="E29" s="175"/>
      <c r="F29" s="17"/>
      <c r="G29" s="13" t="s">
        <v>5</v>
      </c>
      <c r="H29" s="16">
        <f>آتشنشانی!D21</f>
        <v>0</v>
      </c>
      <c r="I29" s="7" t="s">
        <v>10</v>
      </c>
      <c r="J29" s="13" t="s">
        <v>5</v>
      </c>
      <c r="K29" s="14">
        <f t="shared" si="0"/>
        <v>0</v>
      </c>
      <c r="L29" s="9"/>
    </row>
    <row r="30" spans="1:12" ht="18" customHeight="1" x14ac:dyDescent="0.25">
      <c r="A30" s="9"/>
      <c r="B30" s="176"/>
      <c r="C30" s="177"/>
      <c r="D30" s="174"/>
      <c r="E30" s="175"/>
      <c r="F30" s="17"/>
      <c r="G30" s="13" t="s">
        <v>5</v>
      </c>
      <c r="H30" s="16">
        <f>آتشنشانی!D22</f>
        <v>0</v>
      </c>
      <c r="I30" s="7" t="s">
        <v>10</v>
      </c>
      <c r="J30" s="13" t="s">
        <v>5</v>
      </c>
      <c r="K30" s="14">
        <f t="shared" si="0"/>
        <v>0</v>
      </c>
      <c r="L30" s="9"/>
    </row>
    <row r="31" spans="1:12" ht="18" customHeight="1" x14ac:dyDescent="0.25">
      <c r="A31" s="9"/>
      <c r="B31" s="176"/>
      <c r="C31" s="177"/>
      <c r="D31" s="174"/>
      <c r="E31" s="175"/>
      <c r="F31" s="17"/>
      <c r="G31" s="13" t="s">
        <v>5</v>
      </c>
      <c r="H31" s="16">
        <f>آتشنشانی!D23</f>
        <v>0</v>
      </c>
      <c r="I31" s="7" t="s">
        <v>10</v>
      </c>
      <c r="J31" s="13" t="s">
        <v>5</v>
      </c>
      <c r="K31" s="14">
        <f t="shared" si="0"/>
        <v>0</v>
      </c>
      <c r="L31" s="9"/>
    </row>
    <row r="32" spans="1:12" ht="18" customHeight="1" x14ac:dyDescent="0.25">
      <c r="A32" s="9"/>
      <c r="B32" s="176"/>
      <c r="C32" s="177"/>
      <c r="D32" s="174"/>
      <c r="E32" s="175"/>
      <c r="F32" s="17"/>
      <c r="G32" s="13" t="s">
        <v>5</v>
      </c>
      <c r="H32" s="16">
        <f>آتشنشانی!D24</f>
        <v>0</v>
      </c>
      <c r="I32" s="7" t="s">
        <v>10</v>
      </c>
      <c r="J32" s="13" t="s">
        <v>5</v>
      </c>
      <c r="K32" s="14">
        <f t="shared" si="0"/>
        <v>0</v>
      </c>
      <c r="L32" s="9"/>
    </row>
    <row r="33" spans="1:12" ht="18" customHeight="1" x14ac:dyDescent="0.25">
      <c r="A33" s="9"/>
      <c r="B33" s="176"/>
      <c r="C33" s="177"/>
      <c r="D33" s="174"/>
      <c r="E33" s="175"/>
      <c r="F33" s="17"/>
      <c r="G33" s="13" t="s">
        <v>5</v>
      </c>
      <c r="H33" s="16">
        <f>آتشنشانی!D25</f>
        <v>0</v>
      </c>
      <c r="I33" s="7" t="s">
        <v>10</v>
      </c>
      <c r="J33" s="13" t="s">
        <v>5</v>
      </c>
      <c r="K33" s="14">
        <f t="shared" si="0"/>
        <v>0</v>
      </c>
      <c r="L33" s="9"/>
    </row>
    <row r="34" spans="1:12" ht="18" customHeight="1" x14ac:dyDescent="0.25">
      <c r="A34" s="9"/>
      <c r="B34" s="176"/>
      <c r="C34" s="177"/>
      <c r="D34" s="174"/>
      <c r="E34" s="175"/>
      <c r="F34" s="17"/>
      <c r="G34" s="13" t="s">
        <v>5</v>
      </c>
      <c r="H34" s="16">
        <f>آتشنشانی!D26</f>
        <v>0</v>
      </c>
      <c r="I34" s="7" t="s">
        <v>10</v>
      </c>
      <c r="J34" s="13" t="s">
        <v>5</v>
      </c>
      <c r="K34" s="14">
        <f t="shared" si="0"/>
        <v>0</v>
      </c>
      <c r="L34" s="9"/>
    </row>
    <row r="35" spans="1:12" ht="18" customHeight="1" x14ac:dyDescent="0.25">
      <c r="A35" s="9"/>
      <c r="B35" s="176"/>
      <c r="C35" s="177"/>
      <c r="D35" s="174"/>
      <c r="E35" s="175"/>
      <c r="F35" s="17"/>
      <c r="G35" s="13" t="s">
        <v>5</v>
      </c>
      <c r="H35" s="16">
        <f>آتشنشانی!D27</f>
        <v>0</v>
      </c>
      <c r="I35" s="7" t="s">
        <v>10</v>
      </c>
      <c r="J35" s="13" t="s">
        <v>5</v>
      </c>
      <c r="K35" s="14">
        <f t="shared" si="0"/>
        <v>0</v>
      </c>
      <c r="L35" s="9"/>
    </row>
    <row r="36" spans="1:12" ht="18" customHeight="1" x14ac:dyDescent="0.25">
      <c r="A36" s="9"/>
      <c r="B36" s="176"/>
      <c r="C36" s="177"/>
      <c r="D36" s="174"/>
      <c r="E36" s="175"/>
      <c r="F36" s="17"/>
      <c r="G36" s="13" t="s">
        <v>5</v>
      </c>
      <c r="H36" s="16">
        <f>آتشنشانی!D28</f>
        <v>0</v>
      </c>
      <c r="I36" s="7" t="s">
        <v>10</v>
      </c>
      <c r="J36" s="13" t="s">
        <v>5</v>
      </c>
      <c r="K36" s="14">
        <f t="shared" si="0"/>
        <v>0</v>
      </c>
      <c r="L36" s="9"/>
    </row>
    <row r="37" spans="1:12" ht="18" customHeight="1" x14ac:dyDescent="0.25">
      <c r="A37" s="9"/>
      <c r="B37" s="176"/>
      <c r="C37" s="177"/>
      <c r="D37" s="174"/>
      <c r="E37" s="175"/>
      <c r="F37" s="17"/>
      <c r="G37" s="13" t="s">
        <v>5</v>
      </c>
      <c r="H37" s="16">
        <f>آتشنشانی!D29</f>
        <v>0</v>
      </c>
      <c r="I37" s="7" t="s">
        <v>10</v>
      </c>
      <c r="J37" s="13" t="s">
        <v>5</v>
      </c>
      <c r="K37" s="14">
        <f t="shared" si="0"/>
        <v>0</v>
      </c>
      <c r="L37" s="9"/>
    </row>
    <row r="38" spans="1:12" ht="18" customHeight="1" x14ac:dyDescent="0.25">
      <c r="A38" s="9"/>
      <c r="B38" s="176"/>
      <c r="C38" s="177"/>
      <c r="D38" s="174"/>
      <c r="E38" s="175"/>
      <c r="F38" s="17"/>
      <c r="G38" s="13" t="s">
        <v>5</v>
      </c>
      <c r="H38" s="16">
        <f>آتشنشانی!D30</f>
        <v>0</v>
      </c>
      <c r="I38" s="7" t="s">
        <v>10</v>
      </c>
      <c r="J38" s="13" t="s">
        <v>5</v>
      </c>
      <c r="K38" s="14">
        <f t="shared" si="0"/>
        <v>0</v>
      </c>
      <c r="L38" s="9"/>
    </row>
    <row r="39" spans="1:12" ht="18" customHeight="1" x14ac:dyDescent="0.25">
      <c r="A39" s="9"/>
      <c r="B39" s="176"/>
      <c r="C39" s="177"/>
      <c r="D39" s="174"/>
      <c r="E39" s="175"/>
      <c r="F39" s="17"/>
      <c r="G39" s="13" t="s">
        <v>5</v>
      </c>
      <c r="H39" s="16">
        <f>آتشنشانی!D31</f>
        <v>0</v>
      </c>
      <c r="I39" s="7" t="s">
        <v>10</v>
      </c>
      <c r="J39" s="13" t="s">
        <v>5</v>
      </c>
      <c r="K39" s="14">
        <f t="shared" si="0"/>
        <v>0</v>
      </c>
      <c r="L39" s="9"/>
    </row>
    <row r="40" spans="1:12" ht="18" customHeight="1" x14ac:dyDescent="0.25">
      <c r="A40" s="9"/>
      <c r="B40" s="167" t="s">
        <v>52</v>
      </c>
      <c r="C40" s="168"/>
      <c r="D40" s="168"/>
      <c r="E40" s="168"/>
      <c r="F40" s="168"/>
      <c r="G40" s="168"/>
      <c r="H40" s="168"/>
      <c r="I40" s="7" t="s">
        <v>10</v>
      </c>
      <c r="J40" s="13" t="s">
        <v>5</v>
      </c>
      <c r="K40" s="15">
        <f>IF(D23=آتشنشانی!P1,SUM(K22:K23),SUM(K22:K39)-K23)</f>
        <v>0</v>
      </c>
      <c r="L40" s="9"/>
    </row>
    <row r="41" spans="1:12" ht="18" customHeight="1" x14ac:dyDescent="0.25">
      <c r="A41" s="9"/>
      <c r="B41" s="167" t="s">
        <v>32</v>
      </c>
      <c r="C41" s="178"/>
      <c r="D41" s="179" t="s">
        <v>33</v>
      </c>
      <c r="E41" s="180"/>
      <c r="F41" s="180"/>
      <c r="G41" s="17">
        <v>3</v>
      </c>
      <c r="H41" s="22" t="s">
        <v>34</v>
      </c>
      <c r="I41" s="7" t="s">
        <v>10</v>
      </c>
      <c r="J41" s="13" t="s">
        <v>5</v>
      </c>
      <c r="K41" s="25">
        <f>G41*(K40/100)</f>
        <v>0</v>
      </c>
      <c r="L41" s="9"/>
    </row>
    <row r="42" spans="1:12" ht="18" customHeight="1" x14ac:dyDescent="0.25">
      <c r="A42" s="9"/>
      <c r="B42" s="137" t="s">
        <v>268</v>
      </c>
      <c r="C42" s="138"/>
      <c r="D42" s="144"/>
      <c r="E42" s="144"/>
      <c r="F42" s="119" t="s">
        <v>194</v>
      </c>
      <c r="G42" s="118" t="s">
        <v>0</v>
      </c>
      <c r="H42" s="120"/>
      <c r="I42" s="7" t="s">
        <v>10</v>
      </c>
      <c r="J42" s="13" t="s">
        <v>5</v>
      </c>
      <c r="K42" s="25">
        <f>IF(OR(H42=0,D42=0),0,0.703*(H42/آتشنشانی!D33)^2)</f>
        <v>0</v>
      </c>
      <c r="L42" s="9"/>
    </row>
    <row r="43" spans="1:12" ht="18" customHeight="1" x14ac:dyDescent="0.25">
      <c r="A43" s="9"/>
      <c r="B43" s="167" t="s">
        <v>12</v>
      </c>
      <c r="C43" s="168"/>
      <c r="D43" s="168"/>
      <c r="E43" s="168"/>
      <c r="F43" s="168"/>
      <c r="G43" s="168"/>
      <c r="H43" s="168"/>
      <c r="I43" s="7" t="s">
        <v>10</v>
      </c>
      <c r="J43" s="13" t="s">
        <v>5</v>
      </c>
      <c r="K43" s="14">
        <f>K21</f>
        <v>0</v>
      </c>
      <c r="L43" s="9"/>
    </row>
    <row r="44" spans="1:12" ht="18" customHeight="1" x14ac:dyDescent="0.25">
      <c r="A44" s="9"/>
      <c r="B44" s="137" t="s">
        <v>13</v>
      </c>
      <c r="C44" s="138"/>
      <c r="D44" s="31"/>
      <c r="E44" s="181"/>
      <c r="F44" s="181"/>
      <c r="G44" s="181"/>
      <c r="H44" s="32"/>
      <c r="I44" s="7" t="s">
        <v>10</v>
      </c>
      <c r="J44" s="13" t="s">
        <v>5</v>
      </c>
      <c r="K44" s="14">
        <f>IF(E8="مسکونی",20,45)</f>
        <v>45</v>
      </c>
      <c r="L44" s="9"/>
    </row>
    <row r="45" spans="1:12" ht="20.100000000000001" customHeight="1" thickBot="1" x14ac:dyDescent="0.3">
      <c r="A45" s="9"/>
      <c r="B45" s="170" t="s">
        <v>67</v>
      </c>
      <c r="C45" s="171"/>
      <c r="D45" s="26" t="s">
        <v>63</v>
      </c>
      <c r="E45" s="184">
        <f>J45*3.28</f>
        <v>147.6</v>
      </c>
      <c r="F45" s="185"/>
      <c r="G45" s="27" t="s">
        <v>62</v>
      </c>
      <c r="H45" s="28">
        <f>J45*1.42</f>
        <v>63.9</v>
      </c>
      <c r="I45" s="26" t="s">
        <v>5</v>
      </c>
      <c r="J45" s="164">
        <f>SUM(K41:K44)</f>
        <v>45</v>
      </c>
      <c r="K45" s="165"/>
      <c r="L45" s="9"/>
    </row>
    <row r="46" spans="1:12" ht="15" customHeight="1" x14ac:dyDescent="0.25">
      <c r="A46" s="182"/>
      <c r="B46" s="182"/>
      <c r="C46" s="182"/>
      <c r="D46" s="182"/>
      <c r="E46" s="183" t="s">
        <v>292</v>
      </c>
      <c r="F46" s="183"/>
      <c r="G46" s="183"/>
      <c r="H46" s="183"/>
      <c r="I46" s="183"/>
      <c r="J46" s="183"/>
      <c r="K46" s="183"/>
      <c r="L46" s="183"/>
    </row>
  </sheetData>
  <sheetProtection algorithmName="SHA-512" hashValue="ZyyTrMIWc7YusZdF5OYOckDkP5xb7Kb0y4vbCmV/TlMVk+wLqr6zKLe+sIZDYOagYyrCROXhVO0IGmiBCQlv0A==" saltValue="gFsb6JrJtEflmWF+RZ6sTA==" spinCount="100000" sheet="1" objects="1" scenarios="1"/>
  <mergeCells count="84">
    <mergeCell ref="A46:D46"/>
    <mergeCell ref="E46:L46"/>
    <mergeCell ref="B11:E11"/>
    <mergeCell ref="F11:K11"/>
    <mergeCell ref="F12:K12"/>
    <mergeCell ref="B12:E12"/>
    <mergeCell ref="E45:F45"/>
    <mergeCell ref="J45:K45"/>
    <mergeCell ref="D39:E39"/>
    <mergeCell ref="B34:C34"/>
    <mergeCell ref="D34:E34"/>
    <mergeCell ref="B35:C35"/>
    <mergeCell ref="D35:E35"/>
    <mergeCell ref="B36:C36"/>
    <mergeCell ref="B45:C45"/>
    <mergeCell ref="B40:H40"/>
    <mergeCell ref="B41:C41"/>
    <mergeCell ref="D41:F41"/>
    <mergeCell ref="B43:H43"/>
    <mergeCell ref="B44:C44"/>
    <mergeCell ref="E44:G44"/>
    <mergeCell ref="B42:C42"/>
    <mergeCell ref="D42:E42"/>
    <mergeCell ref="B37:C37"/>
    <mergeCell ref="D37:E37"/>
    <mergeCell ref="B38:C38"/>
    <mergeCell ref="D38:E38"/>
    <mergeCell ref="B39:C39"/>
    <mergeCell ref="D36:E36"/>
    <mergeCell ref="B31:C31"/>
    <mergeCell ref="D31:E31"/>
    <mergeCell ref="B32:C32"/>
    <mergeCell ref="D32:E32"/>
    <mergeCell ref="B33:C33"/>
    <mergeCell ref="D33:E33"/>
    <mergeCell ref="B28:C28"/>
    <mergeCell ref="D28:E28"/>
    <mergeCell ref="B29:C29"/>
    <mergeCell ref="D29:E29"/>
    <mergeCell ref="B30:C30"/>
    <mergeCell ref="D30:E30"/>
    <mergeCell ref="B25:C25"/>
    <mergeCell ref="D25:E25"/>
    <mergeCell ref="B26:C26"/>
    <mergeCell ref="D26:E26"/>
    <mergeCell ref="B27:C27"/>
    <mergeCell ref="D27:E27"/>
    <mergeCell ref="B24:C24"/>
    <mergeCell ref="D24:E24"/>
    <mergeCell ref="G24:H24"/>
    <mergeCell ref="B16:C16"/>
    <mergeCell ref="F16:G16"/>
    <mergeCell ref="B19:H19"/>
    <mergeCell ref="B20:H20"/>
    <mergeCell ref="B21:H21"/>
    <mergeCell ref="B22:H22"/>
    <mergeCell ref="B23:C23"/>
    <mergeCell ref="D23:H23"/>
    <mergeCell ref="J16:K16"/>
    <mergeCell ref="C17:E17"/>
    <mergeCell ref="F17:H17"/>
    <mergeCell ref="J17:K17"/>
    <mergeCell ref="B18:K18"/>
    <mergeCell ref="A1:L1"/>
    <mergeCell ref="H8:I8"/>
    <mergeCell ref="B7:K7"/>
    <mergeCell ref="B8:C8"/>
    <mergeCell ref="B9:C9"/>
    <mergeCell ref="E8:G8"/>
    <mergeCell ref="B3:H3"/>
    <mergeCell ref="J3:K5"/>
    <mergeCell ref="E5:H5"/>
    <mergeCell ref="H10:K10"/>
    <mergeCell ref="B10:G10"/>
    <mergeCell ref="H9:I9"/>
    <mergeCell ref="J9:K9"/>
    <mergeCell ref="D13:H13"/>
    <mergeCell ref="J14:K14"/>
    <mergeCell ref="J15:K15"/>
    <mergeCell ref="F15:G15"/>
    <mergeCell ref="B15:E15"/>
    <mergeCell ref="B13:C14"/>
    <mergeCell ref="D14:G14"/>
    <mergeCell ref="J13:K13"/>
  </mergeCells>
  <dataValidations count="1">
    <dataValidation type="decimal" allowBlank="1" showInputMessage="1" showErrorMessage="1" errorTitle="توجه" error="عدد صحیح و مثبت وارد کنید" sqref="D9" xr:uid="{00000000-0002-0000-0700-000000000000}">
      <formula1>1</formula1>
      <formula2>500</formula2>
    </dataValidation>
  </dataValidations>
  <printOptions horizontalCentered="1" verticalCentered="1"/>
  <pageMargins left="0.31496062992126" right="0.31496062992126" top="0.15748031496063" bottom="0.15748031496063" header="0.31496062992126" footer="0.31496062992126"/>
  <pageSetup paperSize="9" orientation="portrait" r:id="rId1"/>
  <ignoredErrors>
    <ignoredError sqref="C5" unlockedFormula="1"/>
  </ignoredError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700-000001000000}">
          <x14:formula1>
            <xm:f>خصوصی!$B$4:$B$14</xm:f>
          </x14:formula1>
          <xm:sqref>B25:C39</xm:sqref>
        </x14:dataValidation>
        <x14:dataValidation type="list" allowBlank="1" showInputMessage="1" showErrorMessage="1" xr:uid="{00000000-0002-0000-0700-000002000000}">
          <x14:formula1>
            <xm:f>آتشنشانی!$C$3:$N$3</xm:f>
          </x14:formula1>
          <xm:sqref>D25:E39 D42:E42</xm:sqref>
        </x14:dataValidation>
        <x14:dataValidation type="list" allowBlank="1" showInputMessage="1" showErrorMessage="1" xr:uid="{00000000-0002-0000-0700-000003000000}">
          <x14:formula1>
            <xm:f>'محاسبه دبی آتشنشانی'!$C$7:$C$9</xm:f>
          </x14:formula1>
          <xm:sqref>J9:K9</xm:sqref>
        </x14:dataValidation>
        <x14:dataValidation type="list" allowBlank="1" showInputMessage="1" showErrorMessage="1" xr:uid="{00000000-0002-0000-0700-000004000000}">
          <x14:formula1>
            <xm:f>آتشنشانی!$P$1:$P$2</xm:f>
          </x14:formula1>
          <xm:sqref>D23:H23</xm:sqref>
        </x14:dataValidation>
        <x14:dataValidation type="list" allowBlank="1" showInputMessage="1" showErrorMessage="1" xr:uid="{00000000-0002-0000-0700-000005000000}">
          <x14:formula1>
            <xm:f>'محاسبه دبی آتشنشانی'!$G$1:$G$2</xm:f>
          </x14:formula1>
          <xm:sqref>H10:K10</xm:sqref>
        </x14:dataValidation>
        <x14:dataValidation type="list" showInputMessage="1" showErrorMessage="1" errorTitle="توجه" error="کاربری را مشخص کنید." xr:uid="{00000000-0002-0000-0700-000006000000}">
          <x14:formula1>
            <xm:f>'محاسبه دبی آتشنشانی'!$A$7:$A$14</xm:f>
          </x14:formula1>
          <xm:sqref>E8:G8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44"/>
  <sheetViews>
    <sheetView rightToLeft="1" zoomScale="145" zoomScaleNormal="145" workbookViewId="0">
      <selection activeCell="D33" sqref="D33"/>
    </sheetView>
  </sheetViews>
  <sheetFormatPr defaultRowHeight="18" x14ac:dyDescent="0.25"/>
  <cols>
    <col min="1" max="1" width="3" style="2" bestFit="1" customWidth="1"/>
    <col min="2" max="2" width="17.7109375" style="2" bestFit="1" customWidth="1"/>
    <col min="3" max="3" width="9.140625" style="2"/>
    <col min="4" max="4" width="9.5703125" style="2" bestFit="1" customWidth="1"/>
    <col min="5" max="6" width="9.140625" style="2"/>
    <col min="7" max="7" width="9.5703125" style="2" bestFit="1" customWidth="1"/>
    <col min="8" max="15" width="9.140625" style="2"/>
    <col min="16" max="16" width="17.7109375" style="2" bestFit="1" customWidth="1"/>
    <col min="17" max="16384" width="9.140625" style="2"/>
  </cols>
  <sheetData>
    <row r="1" spans="1:28" x14ac:dyDescent="0.25">
      <c r="P1" s="2" t="s">
        <v>183</v>
      </c>
    </row>
    <row r="2" spans="1:28" x14ac:dyDescent="0.25">
      <c r="C2" s="2">
        <v>1</v>
      </c>
      <c r="D2" s="2">
        <v>2</v>
      </c>
      <c r="E2" s="2">
        <v>3</v>
      </c>
      <c r="F2" s="2">
        <v>4</v>
      </c>
      <c r="G2" s="2">
        <v>5</v>
      </c>
      <c r="H2" s="2">
        <v>6</v>
      </c>
      <c r="I2" s="2">
        <v>7</v>
      </c>
      <c r="J2" s="2">
        <v>8</v>
      </c>
      <c r="K2" s="2">
        <v>9</v>
      </c>
      <c r="L2" s="2">
        <v>10</v>
      </c>
      <c r="M2" s="2">
        <v>11</v>
      </c>
      <c r="N2" s="2">
        <v>12</v>
      </c>
      <c r="P2" s="2" t="s">
        <v>187</v>
      </c>
    </row>
    <row r="3" spans="1:28" ht="18" customHeight="1" x14ac:dyDescent="0.25">
      <c r="B3" s="2" t="s">
        <v>142</v>
      </c>
      <c r="C3" s="2" t="s">
        <v>20</v>
      </c>
      <c r="D3" s="2" t="s">
        <v>21</v>
      </c>
      <c r="E3" s="2" t="s">
        <v>22</v>
      </c>
      <c r="F3" s="2" t="s">
        <v>23</v>
      </c>
      <c r="G3" s="2" t="s">
        <v>24</v>
      </c>
      <c r="H3" s="2" t="s">
        <v>25</v>
      </c>
      <c r="I3" s="2" t="s">
        <v>26</v>
      </c>
      <c r="J3" s="2" t="s">
        <v>27</v>
      </c>
      <c r="K3" s="38" t="s">
        <v>149</v>
      </c>
      <c r="L3" s="2" t="s">
        <v>148</v>
      </c>
      <c r="M3" s="2" t="s">
        <v>147</v>
      </c>
      <c r="N3" s="2" t="s">
        <v>146</v>
      </c>
      <c r="P3" s="2" t="s">
        <v>143</v>
      </c>
      <c r="Q3" s="2" t="s">
        <v>20</v>
      </c>
      <c r="R3" s="2" t="s">
        <v>21</v>
      </c>
      <c r="S3" s="2" t="s">
        <v>22</v>
      </c>
      <c r="T3" s="2" t="s">
        <v>23</v>
      </c>
      <c r="U3" s="2" t="s">
        <v>24</v>
      </c>
      <c r="V3" s="2" t="s">
        <v>25</v>
      </c>
      <c r="W3" s="2" t="s">
        <v>26</v>
      </c>
      <c r="X3" s="2" t="s">
        <v>27</v>
      </c>
      <c r="Y3" s="2" t="s">
        <v>138</v>
      </c>
      <c r="Z3" s="2" t="s">
        <v>139</v>
      </c>
      <c r="AA3" s="2" t="s">
        <v>140</v>
      </c>
      <c r="AB3" s="2" t="s">
        <v>141</v>
      </c>
    </row>
    <row r="4" spans="1:28" x14ac:dyDescent="0.45">
      <c r="A4" s="2">
        <v>1</v>
      </c>
      <c r="B4" s="3" t="s">
        <v>70</v>
      </c>
      <c r="C4" s="2">
        <f>Q4*0.3</f>
        <v>0.3</v>
      </c>
      <c r="D4" s="2">
        <f t="shared" ref="D4:N8" si="0">R4*0.3</f>
        <v>0.42</v>
      </c>
      <c r="E4" s="2">
        <f t="shared" si="0"/>
        <v>0.54</v>
      </c>
      <c r="F4" s="2">
        <f t="shared" si="0"/>
        <v>0.78</v>
      </c>
      <c r="G4" s="2">
        <f t="shared" si="0"/>
        <v>0.98999999999999988</v>
      </c>
      <c r="H4" s="2">
        <f t="shared" si="0"/>
        <v>1.32</v>
      </c>
      <c r="I4" s="2">
        <f t="shared" si="0"/>
        <v>1.68</v>
      </c>
      <c r="J4" s="2">
        <f t="shared" si="0"/>
        <v>2.16</v>
      </c>
      <c r="K4" s="2">
        <f t="shared" si="0"/>
        <v>3</v>
      </c>
      <c r="L4" s="2">
        <f t="shared" si="0"/>
        <v>4.2</v>
      </c>
      <c r="M4" s="2">
        <f t="shared" si="0"/>
        <v>5.7</v>
      </c>
      <c r="N4" s="2">
        <f t="shared" si="0"/>
        <v>7.1999999999999993</v>
      </c>
      <c r="P4" s="3" t="s">
        <v>70</v>
      </c>
      <c r="Q4" s="2">
        <v>1</v>
      </c>
      <c r="R4" s="2">
        <v>1.4</v>
      </c>
      <c r="S4" s="2">
        <v>1.8</v>
      </c>
      <c r="T4" s="2">
        <v>2.6</v>
      </c>
      <c r="U4" s="2">
        <v>3.3</v>
      </c>
      <c r="V4" s="2">
        <v>4.4000000000000004</v>
      </c>
      <c r="W4" s="2">
        <v>5.6</v>
      </c>
      <c r="X4" s="2">
        <v>7.2</v>
      </c>
      <c r="Y4" s="2">
        <v>10</v>
      </c>
      <c r="Z4" s="2">
        <v>14</v>
      </c>
      <c r="AA4" s="2">
        <v>19</v>
      </c>
      <c r="AB4" s="2">
        <v>24</v>
      </c>
    </row>
    <row r="5" spans="1:28" x14ac:dyDescent="0.45">
      <c r="A5" s="2">
        <v>2</v>
      </c>
      <c r="B5" s="3" t="s">
        <v>14</v>
      </c>
      <c r="C5" s="2">
        <f t="shared" ref="C5:N14" si="1">Q5*0.3</f>
        <v>0.24</v>
      </c>
      <c r="D5" s="2">
        <f t="shared" si="0"/>
        <v>0.27</v>
      </c>
      <c r="E5" s="2">
        <f t="shared" si="0"/>
        <v>0.39</v>
      </c>
      <c r="F5" s="2">
        <f t="shared" si="0"/>
        <v>0.51</v>
      </c>
      <c r="G5" s="2">
        <f t="shared" si="0"/>
        <v>0.63</v>
      </c>
      <c r="H5" s="2">
        <f t="shared" si="0"/>
        <v>0.78</v>
      </c>
      <c r="I5" s="2">
        <f t="shared" si="0"/>
        <v>0.96</v>
      </c>
      <c r="J5" s="2">
        <f t="shared" si="0"/>
        <v>1.2</v>
      </c>
      <c r="K5" s="2">
        <f t="shared" si="0"/>
        <v>1.56</v>
      </c>
      <c r="L5" s="2">
        <f t="shared" si="0"/>
        <v>1.95</v>
      </c>
      <c r="M5" s="2">
        <f t="shared" si="0"/>
        <v>2.37</v>
      </c>
      <c r="N5" s="2">
        <f t="shared" si="0"/>
        <v>3</v>
      </c>
      <c r="P5" s="3" t="s">
        <v>14</v>
      </c>
      <c r="Q5" s="2">
        <v>0.8</v>
      </c>
      <c r="R5" s="2">
        <v>0.9</v>
      </c>
      <c r="S5" s="2">
        <v>1.3</v>
      </c>
      <c r="T5" s="2">
        <v>1.7</v>
      </c>
      <c r="U5" s="2">
        <v>2.1</v>
      </c>
      <c r="V5" s="2">
        <v>2.6</v>
      </c>
      <c r="W5" s="2">
        <v>3.2</v>
      </c>
      <c r="X5" s="2">
        <v>4</v>
      </c>
      <c r="Y5" s="2">
        <v>5.2</v>
      </c>
      <c r="Z5" s="2">
        <v>6.5</v>
      </c>
      <c r="AA5" s="2">
        <v>7.9</v>
      </c>
      <c r="AB5" s="2">
        <v>10</v>
      </c>
    </row>
    <row r="6" spans="1:28" x14ac:dyDescent="0.45">
      <c r="A6" s="2">
        <v>3</v>
      </c>
      <c r="B6" s="3" t="s">
        <v>15</v>
      </c>
      <c r="C6" s="2">
        <f t="shared" si="1"/>
        <v>0.48</v>
      </c>
      <c r="D6" s="2">
        <f t="shared" si="0"/>
        <v>0.6</v>
      </c>
      <c r="E6" s="2">
        <f t="shared" si="0"/>
        <v>0.78</v>
      </c>
      <c r="F6" s="2">
        <f t="shared" si="0"/>
        <v>0.98999999999999988</v>
      </c>
      <c r="G6" s="2">
        <f t="shared" si="0"/>
        <v>1.2</v>
      </c>
      <c r="H6" s="2">
        <f t="shared" si="0"/>
        <v>1.5</v>
      </c>
      <c r="I6" s="2">
        <f t="shared" si="0"/>
        <v>1.7999999999999998</v>
      </c>
      <c r="J6" s="2">
        <f t="shared" si="0"/>
        <v>2.25</v>
      </c>
      <c r="K6" s="2">
        <f t="shared" si="0"/>
        <v>3</v>
      </c>
      <c r="L6" s="2">
        <f t="shared" si="0"/>
        <v>3.9</v>
      </c>
      <c r="M6" s="2">
        <f t="shared" si="0"/>
        <v>4.8</v>
      </c>
      <c r="N6" s="2">
        <f t="shared" si="0"/>
        <v>6</v>
      </c>
      <c r="P6" s="3" t="s">
        <v>15</v>
      </c>
      <c r="Q6" s="2">
        <v>1.6</v>
      </c>
      <c r="R6" s="2">
        <v>2</v>
      </c>
      <c r="S6" s="2">
        <v>2.6</v>
      </c>
      <c r="T6" s="2">
        <v>3.3</v>
      </c>
      <c r="U6" s="2">
        <v>4</v>
      </c>
      <c r="V6" s="2">
        <v>5</v>
      </c>
      <c r="W6" s="2">
        <v>6</v>
      </c>
      <c r="X6" s="2">
        <v>7.5</v>
      </c>
      <c r="Y6" s="2">
        <v>10</v>
      </c>
      <c r="Z6" s="2">
        <v>13</v>
      </c>
      <c r="AA6" s="2">
        <v>16</v>
      </c>
      <c r="AB6" s="2">
        <v>20</v>
      </c>
    </row>
    <row r="7" spans="1:28" x14ac:dyDescent="0.45">
      <c r="A7" s="2">
        <v>4</v>
      </c>
      <c r="B7" s="3" t="s">
        <v>16</v>
      </c>
      <c r="C7" s="2">
        <f t="shared" si="1"/>
        <v>0.3</v>
      </c>
      <c r="D7" s="2">
        <f t="shared" si="0"/>
        <v>0.42</v>
      </c>
      <c r="E7" s="2">
        <f t="shared" si="0"/>
        <v>0.51</v>
      </c>
      <c r="F7" s="2">
        <f t="shared" si="0"/>
        <v>0.69</v>
      </c>
      <c r="G7" s="2">
        <f t="shared" si="0"/>
        <v>0.78</v>
      </c>
      <c r="H7" s="2">
        <f t="shared" si="0"/>
        <v>0.98999999999999988</v>
      </c>
      <c r="I7" s="2">
        <f t="shared" si="0"/>
        <v>1.2299999999999998</v>
      </c>
      <c r="J7" s="2">
        <f t="shared" si="0"/>
        <v>1.5</v>
      </c>
      <c r="K7" s="2">
        <f t="shared" si="0"/>
        <v>2.0099999999999998</v>
      </c>
      <c r="L7" s="2">
        <f t="shared" si="0"/>
        <v>2.4599999999999995</v>
      </c>
      <c r="M7" s="2">
        <f t="shared" si="0"/>
        <v>3</v>
      </c>
      <c r="N7" s="2">
        <f t="shared" si="0"/>
        <v>3.9</v>
      </c>
      <c r="P7" s="3" t="s">
        <v>16</v>
      </c>
      <c r="Q7" s="2">
        <v>1</v>
      </c>
      <c r="R7" s="2">
        <v>1.4</v>
      </c>
      <c r="S7" s="2">
        <v>1.7</v>
      </c>
      <c r="T7" s="2">
        <v>2.2999999999999998</v>
      </c>
      <c r="U7" s="2">
        <v>2.6</v>
      </c>
      <c r="V7" s="2">
        <v>3.3</v>
      </c>
      <c r="W7" s="2">
        <v>4.0999999999999996</v>
      </c>
      <c r="X7" s="2">
        <v>5</v>
      </c>
      <c r="Y7" s="2">
        <v>6.7</v>
      </c>
      <c r="Z7" s="2">
        <v>8.1999999999999993</v>
      </c>
      <c r="AA7" s="2">
        <v>10</v>
      </c>
      <c r="AB7" s="2">
        <v>13</v>
      </c>
    </row>
    <row r="8" spans="1:28" x14ac:dyDescent="0.45">
      <c r="A8" s="2">
        <v>5</v>
      </c>
      <c r="B8" s="3" t="s">
        <v>17</v>
      </c>
      <c r="C8" s="2">
        <f t="shared" si="1"/>
        <v>0.89999999999999991</v>
      </c>
      <c r="D8" s="2">
        <f t="shared" si="0"/>
        <v>1.2</v>
      </c>
      <c r="E8" s="2">
        <f t="shared" si="0"/>
        <v>1.5</v>
      </c>
      <c r="F8" s="2">
        <f t="shared" si="0"/>
        <v>2.1</v>
      </c>
      <c r="G8" s="2">
        <f t="shared" si="0"/>
        <v>2.4</v>
      </c>
      <c r="H8" s="2">
        <f t="shared" si="0"/>
        <v>3</v>
      </c>
      <c r="I8" s="2">
        <f t="shared" si="0"/>
        <v>3.5999999999999996</v>
      </c>
      <c r="J8" s="2">
        <f t="shared" si="0"/>
        <v>4.5</v>
      </c>
      <c r="K8" s="2">
        <f t="shared" si="0"/>
        <v>6.3</v>
      </c>
      <c r="L8" s="2">
        <f t="shared" si="0"/>
        <v>7.5</v>
      </c>
      <c r="M8" s="2">
        <f t="shared" si="0"/>
        <v>9</v>
      </c>
      <c r="N8" s="2">
        <f t="shared" si="0"/>
        <v>12</v>
      </c>
      <c r="P8" s="3" t="s">
        <v>17</v>
      </c>
      <c r="Q8" s="2">
        <v>3</v>
      </c>
      <c r="R8" s="2">
        <v>4</v>
      </c>
      <c r="S8" s="2">
        <v>5</v>
      </c>
      <c r="T8" s="2">
        <v>7</v>
      </c>
      <c r="U8" s="2">
        <v>8</v>
      </c>
      <c r="V8" s="2">
        <v>10</v>
      </c>
      <c r="W8" s="2">
        <v>12</v>
      </c>
      <c r="X8" s="2">
        <v>15</v>
      </c>
      <c r="Y8" s="2">
        <v>21</v>
      </c>
      <c r="Z8" s="2">
        <v>25</v>
      </c>
      <c r="AA8" s="2">
        <v>30</v>
      </c>
      <c r="AB8" s="2">
        <v>40</v>
      </c>
    </row>
    <row r="9" spans="1:28" x14ac:dyDescent="0.45">
      <c r="A9" s="2">
        <v>6</v>
      </c>
      <c r="B9" s="3" t="s">
        <v>18</v>
      </c>
      <c r="C9" s="2">
        <v>0.24</v>
      </c>
      <c r="D9" s="2">
        <v>0.33</v>
      </c>
      <c r="E9" s="2">
        <v>0.45</v>
      </c>
      <c r="F9" s="2">
        <v>0.56999999999999995</v>
      </c>
      <c r="G9" s="2">
        <v>0.67</v>
      </c>
      <c r="H9" s="2">
        <v>0.91</v>
      </c>
      <c r="I9" s="2">
        <v>1.1200000000000001</v>
      </c>
      <c r="J9" s="2">
        <v>1.37</v>
      </c>
      <c r="K9" s="2">
        <v>1.38</v>
      </c>
      <c r="L9" s="2">
        <v>1.39</v>
      </c>
      <c r="M9" s="2">
        <v>1.4</v>
      </c>
      <c r="N9" s="2">
        <v>1.41</v>
      </c>
      <c r="P9" s="3" t="s">
        <v>18</v>
      </c>
    </row>
    <row r="10" spans="1:28" x14ac:dyDescent="0.45">
      <c r="A10" s="2">
        <v>7</v>
      </c>
      <c r="B10" s="3" t="s">
        <v>8</v>
      </c>
      <c r="C10" s="2">
        <f t="shared" si="1"/>
        <v>0.21</v>
      </c>
      <c r="D10" s="2">
        <f t="shared" si="1"/>
        <v>0.27</v>
      </c>
      <c r="E10" s="2">
        <f t="shared" si="1"/>
        <v>0.3</v>
      </c>
      <c r="F10" s="2">
        <f t="shared" si="1"/>
        <v>0.44999999999999996</v>
      </c>
      <c r="G10" s="2">
        <f t="shared" si="1"/>
        <v>0.54</v>
      </c>
      <c r="H10" s="2">
        <f t="shared" si="1"/>
        <v>0.69</v>
      </c>
      <c r="I10" s="2">
        <f t="shared" si="1"/>
        <v>0.84</v>
      </c>
      <c r="J10" s="2">
        <f t="shared" si="1"/>
        <v>0.96</v>
      </c>
      <c r="K10" s="2">
        <f t="shared" si="1"/>
        <v>1.3499999999999999</v>
      </c>
      <c r="L10" s="2">
        <f t="shared" si="1"/>
        <v>1.7999999999999998</v>
      </c>
      <c r="M10" s="2">
        <f t="shared" si="1"/>
        <v>2.1</v>
      </c>
      <c r="N10" s="2">
        <f t="shared" si="1"/>
        <v>2.6999999999999997</v>
      </c>
      <c r="P10" s="3" t="s">
        <v>8</v>
      </c>
      <c r="Q10" s="2">
        <v>0.7</v>
      </c>
      <c r="R10" s="2">
        <v>0.9</v>
      </c>
      <c r="S10" s="2">
        <v>1</v>
      </c>
      <c r="T10" s="2">
        <v>1.5</v>
      </c>
      <c r="U10" s="2">
        <v>1.8</v>
      </c>
      <c r="V10" s="2">
        <v>2.2999999999999998</v>
      </c>
      <c r="W10" s="2">
        <v>2.8</v>
      </c>
      <c r="X10" s="2">
        <v>3.2</v>
      </c>
      <c r="Y10" s="2">
        <v>4.5</v>
      </c>
      <c r="Z10" s="2">
        <v>6</v>
      </c>
      <c r="AA10" s="2">
        <v>7</v>
      </c>
      <c r="AB10" s="2">
        <v>9</v>
      </c>
    </row>
    <row r="11" spans="1:28" x14ac:dyDescent="0.45">
      <c r="A11" s="2">
        <v>8</v>
      </c>
      <c r="B11" s="3" t="s">
        <v>6</v>
      </c>
      <c r="C11" s="2">
        <f t="shared" si="1"/>
        <v>5.3999999999999995</v>
      </c>
      <c r="D11" s="2">
        <f t="shared" si="1"/>
        <v>6.6</v>
      </c>
      <c r="E11" s="2">
        <f t="shared" si="1"/>
        <v>8.6999999999999993</v>
      </c>
      <c r="F11" s="2">
        <f t="shared" si="1"/>
        <v>11.4</v>
      </c>
      <c r="G11" s="2">
        <f t="shared" si="1"/>
        <v>12.9</v>
      </c>
      <c r="H11" s="2">
        <f t="shared" si="1"/>
        <v>16.5</v>
      </c>
      <c r="I11" s="2">
        <f t="shared" si="1"/>
        <v>20.7</v>
      </c>
      <c r="J11" s="2">
        <f t="shared" si="1"/>
        <v>25.2</v>
      </c>
      <c r="K11" s="2">
        <f t="shared" si="1"/>
        <v>36</v>
      </c>
      <c r="L11" s="2">
        <f t="shared" si="1"/>
        <v>42</v>
      </c>
      <c r="M11" s="2">
        <f t="shared" si="1"/>
        <v>51</v>
      </c>
      <c r="N11" s="2">
        <f t="shared" si="1"/>
        <v>66</v>
      </c>
      <c r="P11" s="3" t="s">
        <v>6</v>
      </c>
      <c r="Q11" s="2">
        <v>18</v>
      </c>
      <c r="R11" s="2">
        <v>22</v>
      </c>
      <c r="S11" s="2">
        <v>29</v>
      </c>
      <c r="T11" s="2">
        <v>38</v>
      </c>
      <c r="U11" s="2">
        <v>43</v>
      </c>
      <c r="V11" s="2">
        <v>55</v>
      </c>
      <c r="W11" s="2">
        <v>69</v>
      </c>
      <c r="X11" s="2">
        <v>84</v>
      </c>
      <c r="Y11" s="2">
        <v>120</v>
      </c>
      <c r="Z11" s="2">
        <v>140</v>
      </c>
      <c r="AA11" s="2">
        <v>170</v>
      </c>
      <c r="AB11" s="2">
        <v>220</v>
      </c>
    </row>
    <row r="12" spans="1:28" ht="18" customHeight="1" x14ac:dyDescent="0.45">
      <c r="A12" s="2">
        <v>9</v>
      </c>
      <c r="B12" s="3" t="s">
        <v>19</v>
      </c>
      <c r="C12" s="2">
        <f t="shared" si="1"/>
        <v>2.1</v>
      </c>
      <c r="D12" s="2">
        <f t="shared" si="1"/>
        <v>2.6999999999999997</v>
      </c>
      <c r="E12" s="2">
        <f t="shared" si="1"/>
        <v>3.5999999999999996</v>
      </c>
      <c r="F12" s="2">
        <f t="shared" si="1"/>
        <v>4.5</v>
      </c>
      <c r="G12" s="2">
        <f t="shared" si="1"/>
        <v>5.3999999999999995</v>
      </c>
      <c r="H12" s="2">
        <f t="shared" si="1"/>
        <v>7.1999999999999993</v>
      </c>
      <c r="I12" s="2">
        <f t="shared" si="1"/>
        <v>8.6999999999999993</v>
      </c>
      <c r="J12" s="2">
        <f t="shared" si="1"/>
        <v>10.5</v>
      </c>
      <c r="K12" s="2">
        <f t="shared" si="1"/>
        <v>14.1</v>
      </c>
      <c r="L12" s="2">
        <f t="shared" si="1"/>
        <v>17.399999999999999</v>
      </c>
      <c r="M12" s="2">
        <f t="shared" si="1"/>
        <v>21</v>
      </c>
      <c r="N12" s="2">
        <f t="shared" si="1"/>
        <v>25.5</v>
      </c>
      <c r="P12" s="3" t="s">
        <v>19</v>
      </c>
      <c r="Q12" s="2">
        <v>7</v>
      </c>
      <c r="R12" s="2">
        <v>9</v>
      </c>
      <c r="S12" s="2">
        <v>12</v>
      </c>
      <c r="T12" s="2">
        <v>15</v>
      </c>
      <c r="U12" s="2">
        <v>18</v>
      </c>
      <c r="V12" s="2">
        <v>24</v>
      </c>
      <c r="W12" s="2">
        <v>29</v>
      </c>
      <c r="X12" s="2">
        <v>35</v>
      </c>
      <c r="Y12" s="2">
        <v>47</v>
      </c>
      <c r="Z12" s="2">
        <v>58</v>
      </c>
      <c r="AA12" s="2">
        <v>70</v>
      </c>
      <c r="AB12" s="2">
        <v>85</v>
      </c>
    </row>
    <row r="13" spans="1:28" x14ac:dyDescent="0.45">
      <c r="A13" s="2">
        <v>10</v>
      </c>
      <c r="B13" s="3" t="s">
        <v>11</v>
      </c>
      <c r="C13" s="2">
        <f t="shared" si="1"/>
        <v>1.7999999999999998</v>
      </c>
      <c r="D13" s="2">
        <f t="shared" si="1"/>
        <v>2.4</v>
      </c>
      <c r="E13" s="2">
        <f t="shared" si="1"/>
        <v>3</v>
      </c>
      <c r="F13" s="2">
        <f t="shared" si="1"/>
        <v>4.2</v>
      </c>
      <c r="G13" s="2">
        <f t="shared" si="1"/>
        <v>4.8</v>
      </c>
      <c r="H13" s="2">
        <f t="shared" si="1"/>
        <v>6</v>
      </c>
      <c r="I13" s="2">
        <f t="shared" si="1"/>
        <v>7.5</v>
      </c>
      <c r="J13" s="2">
        <f t="shared" si="1"/>
        <v>9</v>
      </c>
      <c r="K13" s="2">
        <f t="shared" si="1"/>
        <v>12</v>
      </c>
      <c r="L13" s="2">
        <f t="shared" si="1"/>
        <v>15</v>
      </c>
      <c r="M13" s="2">
        <f t="shared" si="1"/>
        <v>18</v>
      </c>
      <c r="N13" s="2">
        <f t="shared" si="1"/>
        <v>24</v>
      </c>
      <c r="P13" s="3" t="s">
        <v>11</v>
      </c>
      <c r="Q13" s="2">
        <v>6</v>
      </c>
      <c r="R13" s="2">
        <v>8</v>
      </c>
      <c r="S13" s="2">
        <v>10</v>
      </c>
      <c r="T13" s="2">
        <v>14</v>
      </c>
      <c r="U13" s="2">
        <v>16</v>
      </c>
      <c r="V13" s="2">
        <v>20</v>
      </c>
      <c r="W13" s="2">
        <v>25</v>
      </c>
      <c r="X13" s="2">
        <v>30</v>
      </c>
      <c r="Y13" s="2">
        <v>40</v>
      </c>
      <c r="Z13" s="2">
        <v>50</v>
      </c>
      <c r="AA13" s="2">
        <v>60</v>
      </c>
      <c r="AB13" s="2">
        <v>80</v>
      </c>
    </row>
    <row r="14" spans="1:28" x14ac:dyDescent="0.45">
      <c r="A14" s="2">
        <v>11</v>
      </c>
      <c r="B14" s="3" t="s">
        <v>69</v>
      </c>
      <c r="C14" s="2">
        <f t="shared" si="1"/>
        <v>0.54</v>
      </c>
      <c r="D14" s="2">
        <f t="shared" si="1"/>
        <v>0.84</v>
      </c>
      <c r="E14" s="2">
        <f t="shared" si="1"/>
        <v>1.1100000000000001</v>
      </c>
      <c r="F14" s="2">
        <f t="shared" si="1"/>
        <v>1.5899999999999999</v>
      </c>
      <c r="G14" s="2">
        <f t="shared" si="1"/>
        <v>1.9799999999999998</v>
      </c>
      <c r="H14" s="2">
        <f t="shared" si="1"/>
        <v>2.6999999999999997</v>
      </c>
      <c r="I14" s="2">
        <f t="shared" si="1"/>
        <v>3.5999999999999996</v>
      </c>
      <c r="J14" s="2">
        <f t="shared" si="1"/>
        <v>4.2</v>
      </c>
      <c r="K14" s="2">
        <f t="shared" si="1"/>
        <v>6</v>
      </c>
      <c r="L14" s="2">
        <f t="shared" si="1"/>
        <v>8.1</v>
      </c>
      <c r="M14" s="2">
        <f t="shared" si="1"/>
        <v>9.9</v>
      </c>
      <c r="N14" s="2">
        <f t="shared" si="1"/>
        <v>14.1</v>
      </c>
      <c r="P14" s="3" t="s">
        <v>69</v>
      </c>
      <c r="Q14" s="2">
        <v>1.8</v>
      </c>
      <c r="R14" s="2">
        <v>2.8</v>
      </c>
      <c r="S14" s="2">
        <v>3.7</v>
      </c>
      <c r="T14" s="2">
        <v>5.3</v>
      </c>
      <c r="U14" s="2">
        <v>6.6</v>
      </c>
      <c r="V14" s="2">
        <v>9</v>
      </c>
      <c r="W14" s="2">
        <v>12</v>
      </c>
      <c r="X14" s="2">
        <v>14</v>
      </c>
      <c r="Y14" s="2">
        <v>20</v>
      </c>
      <c r="Z14" s="2">
        <v>27</v>
      </c>
      <c r="AA14" s="2">
        <v>33</v>
      </c>
      <c r="AB14" s="2">
        <v>47</v>
      </c>
    </row>
    <row r="15" spans="1:28" x14ac:dyDescent="0.45">
      <c r="B15" s="3" t="s">
        <v>267</v>
      </c>
      <c r="C15" s="2">
        <v>8</v>
      </c>
      <c r="D15" s="2">
        <v>15</v>
      </c>
      <c r="E15" s="2">
        <v>22</v>
      </c>
      <c r="F15" s="2">
        <v>38</v>
      </c>
      <c r="G15" s="2">
        <v>42</v>
      </c>
      <c r="H15" s="2">
        <v>70</v>
      </c>
      <c r="I15" s="2">
        <v>110</v>
      </c>
      <c r="J15" s="2">
        <v>160</v>
      </c>
      <c r="K15" s="2">
        <v>260</v>
      </c>
      <c r="L15" s="2">
        <v>400</v>
      </c>
      <c r="M15" s="2">
        <v>570</v>
      </c>
      <c r="N15" s="2">
        <v>950</v>
      </c>
      <c r="P15" s="3"/>
    </row>
    <row r="16" spans="1:28" x14ac:dyDescent="0.45">
      <c r="B16" s="3"/>
      <c r="P16" s="3"/>
    </row>
    <row r="17" spans="2:9" x14ac:dyDescent="0.45">
      <c r="B17" s="3">
        <f>'پمپ آتشنشانی '!B25:C25</f>
        <v>0</v>
      </c>
      <c r="C17" s="2">
        <f>'پمپ آتشنشانی '!D25</f>
        <v>0</v>
      </c>
      <c r="D17" s="2">
        <f>IF(OR(B17=0,C17=0),0,(INDEX($C$4:$N$14,(LOOKUP(B17,$B$4:$B$14,$A$4:$A$14)),(LOOKUP(C17,$C$3:$N$3,$C$2:$N$2)))))</f>
        <v>0</v>
      </c>
    </row>
    <row r="18" spans="2:9" x14ac:dyDescent="0.45">
      <c r="B18" s="3">
        <f>'پمپ آتشنشانی '!B26:C26</f>
        <v>0</v>
      </c>
      <c r="C18" s="2">
        <f>'پمپ آتشنشانی '!D26</f>
        <v>0</v>
      </c>
      <c r="D18" s="2">
        <f t="shared" ref="D18:D31" si="2">IF(OR(B18=0,C18=0),0,(INDEX($C$4:$N$14,(LOOKUP(B18,$B$4:$B$14,$A$4:$A$14)),(LOOKUP(C18,$C$3:$N$3,$C$2:$N$2)))))</f>
        <v>0</v>
      </c>
    </row>
    <row r="19" spans="2:9" x14ac:dyDescent="0.45">
      <c r="B19" s="3">
        <f>'پمپ آتشنشانی '!B27:C27</f>
        <v>0</v>
      </c>
      <c r="C19" s="2">
        <f>'پمپ آتشنشانی '!D27</f>
        <v>0</v>
      </c>
      <c r="D19" s="2">
        <f t="shared" si="2"/>
        <v>0</v>
      </c>
    </row>
    <row r="20" spans="2:9" x14ac:dyDescent="0.45">
      <c r="B20" s="3">
        <f>'پمپ آتشنشانی '!B28:C28</f>
        <v>0</v>
      </c>
      <c r="C20" s="2">
        <f>'پمپ آتشنشانی '!D28</f>
        <v>0</v>
      </c>
      <c r="D20" s="2">
        <f t="shared" si="2"/>
        <v>0</v>
      </c>
      <c r="I20" s="3"/>
    </row>
    <row r="21" spans="2:9" x14ac:dyDescent="0.45">
      <c r="B21" s="3">
        <f>'پمپ آتشنشانی '!B29:C29</f>
        <v>0</v>
      </c>
      <c r="C21" s="2">
        <f>'پمپ آتشنشانی '!D29</f>
        <v>0</v>
      </c>
      <c r="D21" s="2">
        <f t="shared" si="2"/>
        <v>0</v>
      </c>
    </row>
    <row r="22" spans="2:9" x14ac:dyDescent="0.45">
      <c r="B22" s="3">
        <f>'پمپ آتشنشانی '!B30:C30</f>
        <v>0</v>
      </c>
      <c r="C22" s="2">
        <f>'پمپ آتشنشانی '!D30</f>
        <v>0</v>
      </c>
      <c r="D22" s="2">
        <f t="shared" si="2"/>
        <v>0</v>
      </c>
    </row>
    <row r="23" spans="2:9" x14ac:dyDescent="0.45">
      <c r="B23" s="3">
        <f>'پمپ آتشنشانی '!B31:C31</f>
        <v>0</v>
      </c>
      <c r="C23" s="2">
        <f>'پمپ آتشنشانی '!D31</f>
        <v>0</v>
      </c>
      <c r="D23" s="2">
        <f t="shared" si="2"/>
        <v>0</v>
      </c>
    </row>
    <row r="24" spans="2:9" x14ac:dyDescent="0.45">
      <c r="B24" s="3">
        <f>'پمپ آتشنشانی '!B32:C32</f>
        <v>0</v>
      </c>
      <c r="C24" s="2">
        <f>'پمپ آتشنشانی '!D32</f>
        <v>0</v>
      </c>
      <c r="D24" s="2">
        <f t="shared" si="2"/>
        <v>0</v>
      </c>
    </row>
    <row r="25" spans="2:9" x14ac:dyDescent="0.45">
      <c r="B25" s="3">
        <f>'پمپ آتشنشانی '!B33:C33</f>
        <v>0</v>
      </c>
      <c r="C25" s="2">
        <f>'پمپ آتشنشانی '!D33</f>
        <v>0</v>
      </c>
      <c r="D25" s="2">
        <f t="shared" si="2"/>
        <v>0</v>
      </c>
    </row>
    <row r="26" spans="2:9" x14ac:dyDescent="0.45">
      <c r="B26" s="3">
        <f>'پمپ آتشنشانی '!B34:C34</f>
        <v>0</v>
      </c>
      <c r="C26" s="2">
        <f>'پمپ آتشنشانی '!D34</f>
        <v>0</v>
      </c>
      <c r="D26" s="2">
        <f t="shared" si="2"/>
        <v>0</v>
      </c>
    </row>
    <row r="27" spans="2:9" x14ac:dyDescent="0.45">
      <c r="B27" s="3">
        <f>'پمپ آتشنشانی '!B35:C35</f>
        <v>0</v>
      </c>
      <c r="C27" s="2">
        <f>'پمپ آتشنشانی '!D35</f>
        <v>0</v>
      </c>
      <c r="D27" s="2">
        <f t="shared" si="2"/>
        <v>0</v>
      </c>
    </row>
    <row r="28" spans="2:9" x14ac:dyDescent="0.45">
      <c r="B28" s="3">
        <f>'پمپ آتشنشانی '!B36:C36</f>
        <v>0</v>
      </c>
      <c r="C28" s="2">
        <f>'پمپ آتشنشانی '!D36</f>
        <v>0</v>
      </c>
      <c r="D28" s="2">
        <f t="shared" si="2"/>
        <v>0</v>
      </c>
    </row>
    <row r="29" spans="2:9" x14ac:dyDescent="0.45">
      <c r="B29" s="3">
        <f>'پمپ آتشنشانی '!B37:C37</f>
        <v>0</v>
      </c>
      <c r="C29" s="2">
        <f>'پمپ آتشنشانی '!D37</f>
        <v>0</v>
      </c>
      <c r="D29" s="2">
        <f t="shared" si="2"/>
        <v>0</v>
      </c>
    </row>
    <row r="30" spans="2:9" x14ac:dyDescent="0.45">
      <c r="B30" s="3">
        <f>'پمپ آتشنشانی '!B38:C38</f>
        <v>0</v>
      </c>
      <c r="C30" s="2">
        <f>'پمپ آتشنشانی '!D38</f>
        <v>0</v>
      </c>
      <c r="D30" s="2">
        <f t="shared" si="2"/>
        <v>0</v>
      </c>
    </row>
    <row r="31" spans="2:9" x14ac:dyDescent="0.45">
      <c r="B31" s="3">
        <f>'پمپ آتشنشانی '!B39:C39</f>
        <v>0</v>
      </c>
      <c r="C31" s="2">
        <f>'پمپ آتشنشانی '!D39</f>
        <v>0</v>
      </c>
      <c r="D31" s="2">
        <f t="shared" si="2"/>
        <v>0</v>
      </c>
    </row>
    <row r="33" spans="2:4" x14ac:dyDescent="0.25">
      <c r="B33" s="2" t="s">
        <v>269</v>
      </c>
      <c r="C33" s="2">
        <f>'پمپ آتشنشانی '!D42</f>
        <v>0</v>
      </c>
      <c r="D33" s="2">
        <f>IF(C33=0,1,LOOKUP(C33,C3:N3,C15:N15))</f>
        <v>1</v>
      </c>
    </row>
    <row r="34" spans="2:4" x14ac:dyDescent="0.25">
      <c r="B34" s="2" t="s">
        <v>53</v>
      </c>
      <c r="C34" s="2" t="s">
        <v>54</v>
      </c>
    </row>
    <row r="35" spans="2:4" x14ac:dyDescent="0.25">
      <c r="B35" s="2" t="s">
        <v>56</v>
      </c>
      <c r="C35" s="2">
        <v>2.7</v>
      </c>
    </row>
    <row r="36" spans="2:4" x14ac:dyDescent="0.25">
      <c r="B36" s="2" t="s">
        <v>57</v>
      </c>
      <c r="C36" s="2">
        <v>14</v>
      </c>
    </row>
    <row r="37" spans="2:4" x14ac:dyDescent="0.25">
      <c r="B37" s="2" t="s">
        <v>36</v>
      </c>
      <c r="C37" s="2">
        <v>5.5</v>
      </c>
    </row>
    <row r="38" spans="2:4" x14ac:dyDescent="0.25">
      <c r="B38" s="2" t="s">
        <v>3</v>
      </c>
      <c r="C38" s="2">
        <v>5.5</v>
      </c>
    </row>
    <row r="39" spans="2:4" x14ac:dyDescent="0.25">
      <c r="B39" s="2" t="s">
        <v>59</v>
      </c>
      <c r="C39" s="2">
        <v>5.5</v>
      </c>
    </row>
    <row r="40" spans="2:4" x14ac:dyDescent="0.25">
      <c r="B40" s="2" t="s">
        <v>1</v>
      </c>
      <c r="C40" s="2">
        <v>5.5</v>
      </c>
    </row>
    <row r="41" spans="2:4" x14ac:dyDescent="0.25">
      <c r="B41" s="2" t="s">
        <v>60</v>
      </c>
      <c r="C41" s="2">
        <v>5.5</v>
      </c>
    </row>
    <row r="42" spans="2:4" x14ac:dyDescent="0.25">
      <c r="B42" s="2" t="s">
        <v>58</v>
      </c>
      <c r="C42" s="2">
        <v>5.5</v>
      </c>
    </row>
    <row r="43" spans="2:4" x14ac:dyDescent="0.25">
      <c r="B43" s="2" t="s">
        <v>2</v>
      </c>
      <c r="C43" s="2">
        <v>5.5</v>
      </c>
    </row>
    <row r="44" spans="2:4" x14ac:dyDescent="0.25">
      <c r="B44" s="2" t="s">
        <v>55</v>
      </c>
      <c r="C44" s="2">
        <v>14</v>
      </c>
    </row>
  </sheetData>
  <sheetProtection algorithmName="SHA-512" hashValue="s6ibA+DWVBHt76yaFL4DYdsqTmhJYiJwXLShvBntkW3WbS1ZwYxLVNBeqccwh3yiX2BKYJXdR0m4cEiWB2x7DQ==" saltValue="36TmEHB0lbAeEY+8hDlTy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Y D A A B Q S w M E F A A C A A g A B 3 B 5 V w 0 7 P W i k A A A A 9 g A A A B I A H A B D b 2 5 m a W c v U G F j a 2 F n Z S 5 4 b W w g o h g A K K A U A A A A A A A A A A A A A A A A A A A A A A A A A A A A h Y 8 x D o I w G I W v Q r r T l r I o + S m D k 4 k k R h P j 2 p Q C j V A M L Z a 7 O X g k r y B G U T f H 9 7 1 v e O 9 + v U E 2 t k 1 w U b 3 V n U l R h C k K l J F d o U 2 V o s G V 4 Q J l H L Z C n k S l g k k 2 N h l t k a L a u X N C i P c e + x h 3 f U U Y p R E 5 5 p u 9 r F U r 0 E f W / + V Q G + u E k Q p x O L z G c I Y j u s Q x Z Z g C m S H k 2 n w F N u 1 9 t j 8 Q V k P j h l 7 x U o T r H Z A 5 A n l / 4 A 9 Q S w M E F A A C A A g A B 3 B 5 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d w e V e M g o C B w A A A A K M B A A A T A B w A R m 9 y b X V s Y X M v U 2 V j d G l v b j E u b S C i G A A o o B Q A A A A A A A A A A A A A A A A A A A A A A A A A A A A r T k 0 u y c z P U w i G 0 I b W v F y 8 X M U Z i U W p K Q o h i U k 5 q Y Y K t g o 5 q S W 8 X A p A E J x f W p S c C h R x r U h O z d F z L i 0 q S s 0 r C c 8 v y k 7 K z 8 / W 0 K y O 9 k v M T b V V g u h U i q 2 N d s 7 P K w E q i d W B G K C s 5 J y R m J c O M r y y I F U J a B J Y q V 5 I U W J e c V p + U a 5 z f k 5 p b h 5 I s l g D Y p t O d b U S R N R Q S U e h B C i j U J J a U V J b q 8 n L l Z m H 1 V g M T x i T 7 Q l j 6 n n i x q Y b y 2 + 2 3 e y 4 3 X O 7 R 8 H E l G j P A A B Q S w E C L Q A U A A I A C A A H c H l X D T s 9 a K Q A A A D 2 A A A A E g A A A A A A A A A A A A A A A A A A A A A A Q 2 9 u Z m l n L 1 B h Y 2 t h Z 2 U u e G 1 s U E s B A i 0 A F A A C A A g A B 3 B 5 V w / K 6 a u k A A A A 6 Q A A A B M A A A A A A A A A A A A A A A A A 8 A A A A F t D b 2 5 0 Z W 5 0 X 1 R 5 c G V z X S 5 4 b W x Q S w E C L Q A U A A I A C A A H c H l X j I K A g c A A A A C j A Q A A E w A A A A A A A A A A A A A A A A D h A Q A A R m 9 y b X V s Y X M v U 2 V j d G l v b j E u b V B L B Q Y A A A A A A w A D A M I A A A D u 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L D g A A A A A A A G k O 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k i I C 8 + P E V u d H J 5 I F R 5 c G U 9 I k Z p b G x F c n J v c k N v Z G U i I F Z h b H V l P S J z V W 5 r b m 9 3 b i I g L z 4 8 R W 5 0 c n k g V H l w Z T 0 i R m l s b E V y c m 9 y Q 2 9 1 b n Q i I F Z h b H V l P S J s M C I g L z 4 8 R W 5 0 c n k g V H l w Z T 0 i R m l s b E x h c 3 R V c G R h d G V k I i B W Y W x 1 Z T 0 i Z D I w M j M t M T E t M j V U M T A 6 M T A 6 M D A u O T c 1 O D A 5 M l o i I C 8 + P E V u d H J 5 I F R 5 c G U 9 I k Z p b G x D b 2 x 1 b W 5 U e X B l c y I g V m F s d W U 9 I n N C Z z 0 9 I i A v P j x F b n R y e S B U e X B l P S J G a W x s Q 2 9 s d W 1 u T m F t Z X M i I F Z h b H V l P S J z W y Z x d W 9 0 O 0 N v b H V t b j E 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E v Q X V 0 b 1 J l b W 9 2 Z W R D b 2 x 1 b W 5 z M S 5 7 Q 2 9 s d W 1 u M S w w f S Z x d W 9 0 O 1 0 s J n F 1 b 3 Q 7 Q 2 9 s d W 1 u Q 2 9 1 b n Q m c X V v d D s 6 M S w m c X V v d D t L Z X l D b 2 x 1 b W 5 O Y W 1 l c y Z x d W 9 0 O z p b X S w m c X V v d D t D b 2 x 1 b W 5 J Z G V u d G l 0 a W V z J n F 1 b 3 Q 7 O l s m c X V v d D t T Z W N 0 a W 9 u M S 9 U Y W J s Z T E v Q X V 0 b 1 J l b W 9 2 Z W R D b 2 x 1 b W 5 z M S 5 7 Q 2 9 s d W 1 u M S w w f S Z x d W 9 0 O 1 0 s J n F 1 b 3 Q 7 U m V s Y X R p b 2 5 z a G l w S W 5 m b y Z x d W 9 0 O z p b X X 0 i I C 8 + P C 9 T d G F i b G V F b n R y a W V z P j w v S X R l b T 4 8 S X R l b T 4 8 S X R l b U x v Y 2 F 0 a W 9 u P j x J d G V t V H l w Z T 5 G b 3 J t d W x h P C 9 J d G V t V H l w Z T 4 8 S X R l b V B h d G g + U 2 V j d G l v b j E v V G F i b G U x L 1 N v d X J j Z T w v S X R l b V B h d G g + P C 9 J d G V t T G 9 j Y X R p b 2 4 + P F N 0 Y W J s Z U V u d H J p Z X M g L z 4 8 L 0 l 0 Z W 0 + P E l 0 Z W 0 + P E l 0 Z W 1 M b 2 N h d G l v b j 4 8 S X R l b V R 5 c G U + R m 9 y b X V s Y T w v S X R l b V R 5 c G U + P E l 0 Z W 1 Q Y X R o P l N l Y 3 R p b 2 4 x L 1 R h Y m x l M S 9 D a G F u Z 2 V k J T I w V H l w Z T w v S X R l b V B h d G g + P C 9 J d G V t T G 9 j Y X R p b 2 4 + P F N 0 Y W J s Z U V u d H J p Z X M g L z 4 8 L 0 l 0 Z W 0 + P E l 0 Z W 0 + P E l 0 Z W 1 M b 2 N h d G l v b j 4 8 S X R l b V R 5 c G U + R m 9 y b X V s Y T w v S X R l b V R 5 c G U + P E l 0 Z W 1 Q Y X R o P l N l Y 3 R p b 2 4 x L 1 R h Y m x l 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O C I g L z 4 8 R W 5 0 c n k g V H l w Z T 0 i R m l s b E V y c m 9 y Q 2 9 k Z S I g V m F s d W U 9 I n N V b m t u b 3 d u I i A v P j x F b n R y e S B U e X B l P S J G a W x s R X J y b 3 J D b 3 V u d C I g V m F s d W U 9 I m w w I i A v P j x F b n R y e S B U e X B l P S J G a W x s T G F z d F V w Z G F 0 Z W Q i I F Z h b H V l P S J k M j A y M y 0 x M S 0 y N V Q x M D o x M z o 1 N y 4 2 N z Q 5 M z g 1 W i I g L z 4 8 R W 5 0 c n k g V H l w Z T 0 i R m l s b E N v b H V t b l R 5 c G V z I i B W Y W x 1 Z T 0 i c 0 J n P T 0 i I C 8 + P E V u d H J 5 I F R 5 c G U 9 I k Z p b G x D b 2 x 1 b W 5 O Y W 1 l c y I g V m F s d W U 9 I n N b J n F 1 b 3 Q 7 2 L L Y p 9 m G 2 Y j b j N u M I D Q 1 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b G U z L 0 F 1 d G 9 S Z W 1 v d m V k Q 2 9 s d W 1 u c z E u e 9 i y 2 K f Z h t m I 2 4 z b j C A 0 N S w w f S Z x d W 9 0 O 1 0 s J n F 1 b 3 Q 7 Q 2 9 s d W 1 u Q 2 9 1 b n Q m c X V v d D s 6 M S w m c X V v d D t L Z X l D b 2 x 1 b W 5 O Y W 1 l c y Z x d W 9 0 O z p b X S w m c X V v d D t D b 2 x 1 b W 5 J Z G V u d G l 0 a W V z J n F 1 b 3 Q 7 O l s m c X V v d D t T Z W N 0 a W 9 u M S 9 U Y W J s Z T M v Q X V 0 b 1 J l b W 9 2 Z W R D b 2 x 1 b W 5 z M S 5 7 2 L L Y p 9 m G 2 Y j b j N u M I D Q 1 L D B 9 J n F 1 b 3 Q 7 X S w m c X V v d D t S Z W x h d G l v b n N o a X B J b m Z v J n F 1 b 3 Q 7 O l t d f S I g L z 4 8 L 1 N 0 Y W J s Z U V u d H J p Z X M + P C 9 J d G V t P j x J d G V t P j x J d G V t T G 9 j Y X R p b 2 4 + P E l 0 Z W 1 U e X B l P k Z v c m 1 1 b G E 8 L 0 l 0 Z W 1 U e X B l P j x J d G V t U G F 0 a D 5 T Z W N 0 a W 9 u M S 9 U Y W J s Z T M v U 2 9 1 c m N l P C 9 J d G V t U G F 0 a D 4 8 L 0 l 0 Z W 1 M b 2 N h d G l v b j 4 8 U 3 R h Y m x l R W 5 0 c m l l c y A v P j w v S X R l b T 4 8 S X R l b T 4 8 S X R l b U x v Y 2 F 0 a W 9 u P j x J d G V t V H l w Z T 5 G b 3 J t d W x h P C 9 J d G V t V H l w Z T 4 8 S X R l b V B h d G g + U 2 V j d G l v b j E v V G F i b G U z L 0 N o Y W 5 n Z W Q l M j B U e X B l P C 9 J d G V t U G F 0 a D 4 8 L 0 l 0 Z W 1 M b 2 N h d G l v b j 4 8 U 3 R h Y m x l R W 5 0 c m l l c y A v P j w v S X R l b T 4 8 L 0 l 0 Z W 1 z P j w v T G 9 j Y W x Q Y W N r Y W d l T W V 0 Y W R h d G F G a W x l P h Y A A A B Q S w U G A A A A A A A A A A A A A A A A A A A A A A A A J g E A A A E A A A D Q j J 3 f A R X R E Y x 6 A M B P w p f r A Q A A A O n 9 Y F 9 k O 0 h O u 6 R Q t y L 5 P f 4 A A A A A A g A A A A A A E G Y A A A A B A A A g A A A A u h j R + r F D + Z P N f / 5 L 7 2 r o b n 9 k s 6 + E 0 Z u 0 C v w R w H y 3 5 2 k A A A A A D o A A A A A C A A A g A A A A U 8 U u / l z h u J 6 A N c k W x V 6 E R h R A U m j C v 5 b M E 2 X X z 5 p 3 I G Z Q A A A A H U y o a 2 Q R H P x o 7 u E J 5 n N Y 9 l r R a M E L / u 0 X j 8 l 0 b r y 6 v k T w q Q o c A 5 A F u + x B B / / i 3 s R f 4 m F m I V M T t d E s z b O u 3 + + r l + 6 n a N 6 Y m 8 x w j I q Q I U x N B d 1 A A A A A L e 8 K A T W V i T 2 G w X W W x B C T m 9 h Z K N D o m H D I z n E v E 2 J T N c P 3 C 9 d e L S x M w 4 M y p 2 o V W j l v k o V W t m t r b 2 k q A r x + E y d Q Z Q = = < / D a t a M a s h u p > 
</file>

<file path=customXml/itemProps1.xml><?xml version="1.0" encoding="utf-8"?>
<ds:datastoreItem xmlns:ds="http://schemas.openxmlformats.org/officeDocument/2006/customXml" ds:itemID="{AEB1265B-8B67-4340-B93D-546CE9C0E39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8</vt:i4>
      </vt:variant>
    </vt:vector>
  </HeadingPairs>
  <TitlesOfParts>
    <vt:vector size="23" baseType="lpstr">
      <vt:lpstr>کاور</vt:lpstr>
      <vt:lpstr>پمپ آبرسانی خصوصی </vt:lpstr>
      <vt:lpstr>خصوصی</vt:lpstr>
      <vt:lpstr>محاسبه دبی خصوصی</vt:lpstr>
      <vt:lpstr>پمپ آبرسانی عمومی</vt:lpstr>
      <vt:lpstr>عمومی</vt:lpstr>
      <vt:lpstr>محاسبه دبی عمومی</vt:lpstr>
      <vt:lpstr>پمپ آتشنشانی </vt:lpstr>
      <vt:lpstr>آتشنشانی</vt:lpstr>
      <vt:lpstr>محاسبه دبی آتشنشانی</vt:lpstr>
      <vt:lpstr>پمپ سیرکولاتور گرمایش-سرمایش</vt:lpstr>
      <vt:lpstr>پمپ سیرکولاتور منبع آبگرم</vt:lpstr>
      <vt:lpstr>پمپ سیرکولاتور برگشت آبگرم</vt:lpstr>
      <vt:lpstr>آبگرم مصرفی</vt:lpstr>
      <vt:lpstr>سیرکولاتور</vt:lpstr>
      <vt:lpstr>'آبگرم مصرفی'!Print_Area</vt:lpstr>
      <vt:lpstr>'پمپ آبرسانی خصوصی '!Print_Area</vt:lpstr>
      <vt:lpstr>'پمپ آبرسانی عمومی'!Print_Area</vt:lpstr>
      <vt:lpstr>'پمپ آتشنشانی '!Print_Area</vt:lpstr>
      <vt:lpstr>'پمپ سیرکولاتور برگشت آبگرم'!Print_Area</vt:lpstr>
      <vt:lpstr>'پمپ سیرکولاتور گرمایش-سرمایش'!Print_Area</vt:lpstr>
      <vt:lpstr>'پمپ سیرکولاتور منبع آبگرم'!Print_Area</vt:lpstr>
      <vt:lpstr>کاور!Print_Area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2026-07-28T14:18:02Z</dcterms:modified>
</cp:coreProperties>
</file>